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80" yWindow="270" windowWidth="13860" windowHeight="8700" activeTab="0"/>
  </bookViews>
  <sheets>
    <sheet name="Menu" sheetId="1" r:id="rId1"/>
    <sheet name="Calc" sheetId="2" r:id="rId2"/>
    <sheet name="Calc2" sheetId="3" r:id="rId3"/>
    <sheet name="Calc3" sheetId="4" r:id="rId4"/>
    <sheet name="Potências" sheetId="5" state="hidden" r:id="rId5"/>
    <sheet name="Levantamento Carga Rural" sheetId="6" r:id="rId6"/>
    <sheet name="Tabelas" sheetId="7" state="hidden" r:id="rId7"/>
    <sheet name="Memorial" sheetId="8" r:id="rId8"/>
    <sheet name="Config" sheetId="9" r:id="rId9"/>
  </sheets>
  <definedNames>
    <definedName name="_xlnm.Print_Area" localSheetId="1">'Calc'!$A$1:$M$52</definedName>
    <definedName name="_xlnm.Print_Area" localSheetId="5">'Levantamento Carga Rural'!$B$1:$R$61</definedName>
    <definedName name="_xlnm.Print_Area" localSheetId="7">'Memorial'!$A$1:$H$46</definedName>
    <definedName name="Bolao" localSheetId="2">'Calc2'!#REF!</definedName>
    <definedName name="Bolao_TABLE" localSheetId="2">'Calc2'!#REF!</definedName>
    <definedName name="Bolao_TABLE_2" localSheetId="2">'Calc2'!#REF!</definedName>
    <definedName name="Bolao_TABLE_3" localSheetId="2">'Calc2'!#REF!</definedName>
    <definedName name="Bolao_TABLE_4" localSheetId="2">'Calc2'!#REF!</definedName>
    <definedName name="DadosExternos1_TABLE" localSheetId="8">'Config'!#REF!</definedName>
    <definedName name="DadosExternos1_TABLE_2" localSheetId="8">'Config'!#REF!</definedName>
    <definedName name="DadosExternos1_TABLE_3" localSheetId="8">'Config'!#REF!</definedName>
    <definedName name="DadosExternos1_TABLE_4" localSheetId="8">'Config'!#REF!</definedName>
    <definedName name="DadosExternos2" localSheetId="8">'Config'!#REF!</definedName>
    <definedName name="DadosExternos2_TABLE" localSheetId="8">'Config'!#REF!</definedName>
    <definedName name="DadosExternos2_TABLE_2" localSheetId="8">'Config'!#REF!</definedName>
    <definedName name="DadosExternos2_TABLE_3" localSheetId="8">'Config'!#REF!</definedName>
    <definedName name="DadosExternos2_TABLE_4" localSheetId="8">'Config'!#REF!</definedName>
    <definedName name="DadosExternos3" localSheetId="8">'Config'!$AA$9:$AF$15</definedName>
    <definedName name="DadosExternos3_TABLE" localSheetId="8">'Config'!#REF!</definedName>
    <definedName name="DadosExternos3_TABLE_2" localSheetId="8">'Config'!#REF!</definedName>
    <definedName name="DadosExternos3_TABLE_3" localSheetId="8">'Config'!#REF!</definedName>
    <definedName name="DadosExternos3_TABLE_4" localSheetId="8">'Config'!#REF!</definedName>
    <definedName name="DadosExternos4" localSheetId="8">'Config'!$D$227:$D$228</definedName>
    <definedName name="DadosExternos4_TABLE" localSheetId="8">'Config'!$D$228:$F$236</definedName>
    <definedName name="DadosExternos4_TABLE_2" localSheetId="8">'Config'!$D$228:$F$236</definedName>
    <definedName name="DadosExternos4_TABLE_3" localSheetId="8">'Config'!$D$233:$E$233</definedName>
    <definedName name="DadosExternos4_TABLE_4" localSheetId="8">'Config'!$D$228:$E$233</definedName>
    <definedName name="tipofornecimento" localSheetId="8">'Config'!#REF!</definedName>
    <definedName name="tipofornecimento_TABLE" localSheetId="8">'Config'!#REF!</definedName>
    <definedName name="tipofornecimento_TABLE_2" localSheetId="8">'Config'!#REF!</definedName>
    <definedName name="tipofornecimento_TABLE_3" localSheetId="8">'Config'!#REF!</definedName>
    <definedName name="tipofornecimento_TABLE_4" localSheetId="8">'Config'!#REF!</definedName>
    <definedName name="tipofornecimento_TABLE_5" localSheetId="8">'Config'!#REF!</definedName>
    <definedName name="tipofornecimento_TABLE_6" localSheetId="8">'Config'!#REF!</definedName>
    <definedName name="tipofornecimento_TABLE_7" localSheetId="8">'Config'!#REF!</definedName>
    <definedName name="tipofornecimento_TABLE_8" localSheetId="8">'Config'!#REF!</definedName>
  </definedNames>
  <calcPr fullCalcOnLoad="1"/>
</workbook>
</file>

<file path=xl/comments6.xml><?xml version="1.0" encoding="utf-8"?>
<comments xmlns="http://schemas.openxmlformats.org/spreadsheetml/2006/main">
  <authors>
    <author>ALFE ENHENHARIA LTDA</author>
  </authors>
  <commentList>
    <comment ref="H8" authorId="0">
      <text>
        <r>
          <rPr>
            <sz val="7"/>
            <color indexed="10"/>
            <rFont val="Small Fonts"/>
            <family val="2"/>
          </rPr>
          <t>Motor Trifásico :  3
Em branco ou outro n°
calcula monofásico</t>
        </r>
      </text>
    </comment>
    <comment ref="M8" authorId="0">
      <text>
        <r>
          <rPr>
            <sz val="8"/>
            <color indexed="10"/>
            <rFont val="Tahoma"/>
            <family val="2"/>
          </rPr>
          <t>Preencher com qualquer dígito</t>
        </r>
      </text>
    </comment>
    <comment ref="B6" authorId="0">
      <text>
        <r>
          <rPr>
            <sz val="8"/>
            <color indexed="10"/>
            <rFont val="Tahoma"/>
            <family val="2"/>
          </rPr>
          <t xml:space="preserve">Selecione a atividade diretamente na listagem apresentada na célula ao lado.
</t>
        </r>
      </text>
    </comment>
    <comment ref="R41" authorId="0">
      <text>
        <r>
          <rPr>
            <sz val="8"/>
            <rFont val="Tahoma"/>
            <family val="2"/>
          </rPr>
          <t>Se houver residência,
o valor mínimo é 3,1 kVA</t>
        </r>
      </text>
    </comment>
    <comment ref="Q42" authorId="0">
      <text>
        <r>
          <rPr>
            <sz val="8"/>
            <rFont val="Tahoma"/>
            <family val="2"/>
          </rPr>
          <t>Se houver residência
o valor mínimo é 3,1kVA</t>
        </r>
      </text>
    </comment>
    <comment ref="O42" authorId="0">
      <text>
        <r>
          <rPr>
            <sz val="8"/>
            <rFont val="Tahoma"/>
            <family val="2"/>
          </rPr>
          <t>Se houver residência o
valor mínimo é 1,26 kVA</t>
        </r>
      </text>
    </comment>
    <comment ref="P41" authorId="0">
      <text>
        <r>
          <rPr>
            <sz val="8"/>
            <rFont val="Tahoma"/>
            <family val="2"/>
          </rPr>
          <t>Se houver residência o
valor mínimo é 1,26 kVA</t>
        </r>
      </text>
    </comment>
  </commentList>
</comments>
</file>

<file path=xl/sharedStrings.xml><?xml version="1.0" encoding="utf-8"?>
<sst xmlns="http://schemas.openxmlformats.org/spreadsheetml/2006/main" count="414" uniqueCount="221">
  <si>
    <t>3.02</t>
  </si>
  <si>
    <t>Cálculo de Tipo de Fornecimento</t>
  </si>
  <si>
    <t>Nome:</t>
  </si>
  <si>
    <t>Área da construção:</t>
  </si>
  <si>
    <t>Atividade:</t>
  </si>
  <si>
    <t>Descrição</t>
  </si>
  <si>
    <t>Qtd</t>
  </si>
  <si>
    <t>CHUVEIRO</t>
  </si>
  <si>
    <t>TELEVISÃO</t>
  </si>
  <si>
    <t>ASPIRADOR DE PÓ</t>
  </si>
  <si>
    <t>FERRO DE PASSAR ROUPA</t>
  </si>
  <si>
    <t>ENCERADEIRA</t>
  </si>
  <si>
    <t>LIQUIDIFICADOR</t>
  </si>
  <si>
    <t>SECADOR DE CABELOS</t>
  </si>
  <si>
    <t>VENTILADOR</t>
  </si>
  <si>
    <t>SECADORA DE ROUPA</t>
  </si>
  <si>
    <t>VENTILADOR DE TETO</t>
  </si>
  <si>
    <t>AR CONDICIONADO 1000BTU's</t>
  </si>
  <si>
    <t>AR CONDICIONADO 7500BTU's</t>
  </si>
  <si>
    <t>BATEDEIRA</t>
  </si>
  <si>
    <t>CAFETEIRA ELÉTRICA</t>
  </si>
  <si>
    <t>ESTUFA ELÉTRICA(AQUECEDOR)</t>
  </si>
  <si>
    <t>EXAUSTOR</t>
  </si>
  <si>
    <t>FORNO DE MICROONDAS</t>
  </si>
  <si>
    <t>FORNO ELÉTRICO(DOMÉSTICO)</t>
  </si>
  <si>
    <t>TORNEIRA ELÉTRICA</t>
  </si>
  <si>
    <t>TORRADEIRA ELÉTRICA</t>
  </si>
  <si>
    <t>VÍDEOCASSETE</t>
  </si>
  <si>
    <t>MOTOR 1/2CV</t>
  </si>
  <si>
    <t>MOTOR 3/4CV</t>
  </si>
  <si>
    <t>MOTOR 1CV</t>
  </si>
  <si>
    <t>MOTOR 3CV</t>
  </si>
  <si>
    <t>MOTOR 5CV</t>
  </si>
  <si>
    <t>MOTOR 10CV</t>
  </si>
  <si>
    <t>MOTOR 15CV</t>
  </si>
  <si>
    <t>MOTOR 25CV</t>
  </si>
  <si>
    <t>MOTOR 50CV</t>
  </si>
  <si>
    <t>MOTOR 100CV</t>
  </si>
  <si>
    <t>MOTOR 150CV</t>
  </si>
  <si>
    <t>CORTADOR DE GRAMA</t>
  </si>
  <si>
    <t>LÂMPADA INCAND. 60W</t>
  </si>
  <si>
    <t>LÂMPADA INCAND. 100W</t>
  </si>
  <si>
    <t>LÂMPADA FLUORESC. 20W</t>
  </si>
  <si>
    <t>LÂMPADA FLUORESC. 25W</t>
  </si>
  <si>
    <t>LÂMPADA FLUORESC. 40W</t>
  </si>
  <si>
    <t>LÂMPADA FLUORESC. 32W</t>
  </si>
  <si>
    <t>W</t>
  </si>
  <si>
    <t>Tabela de Potências</t>
  </si>
  <si>
    <t>REFRIGERADOR</t>
  </si>
  <si>
    <t>SOLDA RESISTIVA, P/W</t>
  </si>
  <si>
    <t>AR CONDICIONADO CENTRAL, P/W</t>
  </si>
  <si>
    <t>RAIO X, P/W</t>
  </si>
  <si>
    <t>Total</t>
  </si>
  <si>
    <t>Potência Instalada:</t>
  </si>
  <si>
    <t>PREVISÃO DE CARGA, P/W</t>
  </si>
  <si>
    <t>Demanda:</t>
  </si>
  <si>
    <t>Tensão de Fornecimento:</t>
  </si>
  <si>
    <t>CNPF/CNPJ:</t>
  </si>
  <si>
    <t>EI:</t>
  </si>
  <si>
    <t>FREEZER</t>
  </si>
  <si>
    <t>OBSERVAÇÕES:</t>
  </si>
  <si>
    <t>DADOS CALCULADOS:</t>
  </si>
  <si>
    <t>DIMENSIONAMENTO DA ENTRADA DE SERVIÇO</t>
  </si>
  <si>
    <t>TENSÃO(V)</t>
  </si>
  <si>
    <t>380/220</t>
  </si>
  <si>
    <t>TIPO</t>
  </si>
  <si>
    <t>CARGA INSTALADA</t>
  </si>
  <si>
    <t>&gt;</t>
  </si>
  <si>
    <t>&lt;=</t>
  </si>
  <si>
    <t>-</t>
  </si>
  <si>
    <t>440/220</t>
  </si>
  <si>
    <t>A2</t>
  </si>
  <si>
    <t>B2</t>
  </si>
  <si>
    <t>B3</t>
  </si>
  <si>
    <t>B4</t>
  </si>
  <si>
    <t>A</t>
  </si>
  <si>
    <t>Potência mínima em iluminação:</t>
  </si>
  <si>
    <t>Conforme Tabela 2 - RIC</t>
  </si>
  <si>
    <t>LAVADOURA DE LOUÇA</t>
  </si>
  <si>
    <t>LAVADORA DE ROUPA</t>
  </si>
  <si>
    <t>Carga de Aparelhos Resistivos e Aqueciemto</t>
  </si>
  <si>
    <t>B</t>
  </si>
  <si>
    <t>Tipo</t>
  </si>
  <si>
    <t>Aparelho Aquecimento</t>
  </si>
  <si>
    <t>Condicionador de Ar</t>
  </si>
  <si>
    <t>Motor elétrico</t>
  </si>
  <si>
    <t>Iluminação ou Tomadas Coletivas</t>
  </si>
  <si>
    <t>Máquina de Solda</t>
  </si>
  <si>
    <t>Ráio X</t>
  </si>
  <si>
    <t>Watt</t>
  </si>
  <si>
    <t>OUTROS</t>
  </si>
  <si>
    <t>TOTALIZAÇÃO</t>
  </si>
  <si>
    <t>Conforme Tabela 7 - RIC</t>
  </si>
  <si>
    <t>Qtd B</t>
  </si>
  <si>
    <t>TABELA 7 - RIC</t>
  </si>
  <si>
    <t>Fatores de Demanda para Aparelhos Resistivos de Aquecimento</t>
  </si>
  <si>
    <t>Nº Apar.</t>
  </si>
  <si>
    <t>FD(%)</t>
  </si>
  <si>
    <t>Qtd C</t>
  </si>
  <si>
    <t>Conforme Tabela 3 e/ou 4 - RIC</t>
  </si>
  <si>
    <t>Carga mínima em ILUMINAÇÃO e TOMADAS COLETIVAS</t>
  </si>
  <si>
    <t>TABELA 5 - RIC</t>
  </si>
  <si>
    <t>Demanda de Motores Elétricos</t>
  </si>
  <si>
    <t>CV</t>
  </si>
  <si>
    <t>kVA</t>
  </si>
  <si>
    <t>1/6</t>
  </si>
  <si>
    <t>1/4</t>
  </si>
  <si>
    <t>1/3</t>
  </si>
  <si>
    <t>1/2</t>
  </si>
  <si>
    <t>3/4</t>
  </si>
  <si>
    <t>1</t>
  </si>
  <si>
    <t>1 1/2</t>
  </si>
  <si>
    <t>2</t>
  </si>
  <si>
    <t>3</t>
  </si>
  <si>
    <t>5</t>
  </si>
  <si>
    <t>7 1/2</t>
  </si>
  <si>
    <t>10</t>
  </si>
  <si>
    <t>15</t>
  </si>
  <si>
    <t>20</t>
  </si>
  <si>
    <t>25</t>
  </si>
  <si>
    <t>30</t>
  </si>
  <si>
    <t>40</t>
  </si>
  <si>
    <t>50</t>
  </si>
  <si>
    <t>Nº Mot.</t>
  </si>
  <si>
    <t>Carga de Motores Elétricos</t>
  </si>
  <si>
    <t>Conforme Tabela 5 - RIC</t>
  </si>
  <si>
    <t>E</t>
  </si>
  <si>
    <t>Qtd E</t>
  </si>
  <si>
    <t>Cargas Especiais</t>
  </si>
  <si>
    <t>Conforme Tabela 6 - RIC</t>
  </si>
  <si>
    <t>F</t>
  </si>
  <si>
    <t>Salvar em:</t>
  </si>
  <si>
    <t>Tipo de Fornecimento:</t>
  </si>
  <si>
    <t>MOTORES</t>
  </si>
  <si>
    <t>FN</t>
  </si>
  <si>
    <t>FF</t>
  </si>
  <si>
    <t>FFF</t>
  </si>
  <si>
    <t>Standard</t>
  </si>
  <si>
    <t>Formatting</t>
  </si>
  <si>
    <t>Visual Basic</t>
  </si>
  <si>
    <t>Drawing</t>
  </si>
  <si>
    <t>Carga Total</t>
  </si>
  <si>
    <t>Carga de Ar Condicionado Tipo Janela</t>
  </si>
  <si>
    <t>C(VA)=</t>
  </si>
  <si>
    <t>Carga de Ar Condicionado Central</t>
  </si>
  <si>
    <t>C (cv)</t>
  </si>
  <si>
    <t>D(W)</t>
  </si>
  <si>
    <t>C:</t>
  </si>
  <si>
    <t>kva tabela</t>
  </si>
  <si>
    <t>MOTOR 7 1/2 CV</t>
  </si>
  <si>
    <t>cv tt</t>
  </si>
  <si>
    <t>&lt;3</t>
  </si>
  <si>
    <t>&lt;5</t>
  </si>
  <si>
    <t>cv faltando</t>
  </si>
  <si>
    <t>Kva</t>
  </si>
  <si>
    <t>ATIVIDADE</t>
  </si>
  <si>
    <t>CÓDIGO</t>
  </si>
  <si>
    <t>FATOR DEMANDA</t>
  </si>
  <si>
    <t>c v</t>
  </si>
  <si>
    <t>k V A</t>
  </si>
  <si>
    <t>Fator de Diversidade</t>
  </si>
  <si>
    <t>Alambique</t>
  </si>
  <si>
    <t>trifásico</t>
  </si>
  <si>
    <t>monofásico</t>
  </si>
  <si>
    <t>Armazém</t>
  </si>
  <si>
    <t>Engenho</t>
  </si>
  <si>
    <t>Escola</t>
  </si>
  <si>
    <t>Igreja</t>
  </si>
  <si>
    <t>Moinho</t>
  </si>
  <si>
    <t>Olaria</t>
  </si>
  <si>
    <t>Serraria</t>
  </si>
  <si>
    <t>Tambo</t>
  </si>
  <si>
    <t xml:space="preserve">  Nome :</t>
  </si>
  <si>
    <t xml:space="preserve">  Muncípio :</t>
  </si>
  <si>
    <t>Distrito:</t>
  </si>
  <si>
    <t xml:space="preserve">  Ativ. Principal :</t>
  </si>
  <si>
    <t>Código :</t>
  </si>
  <si>
    <t>Incluir a residência?</t>
  </si>
  <si>
    <t>CARACT.</t>
  </si>
  <si>
    <t>QUANT.</t>
  </si>
  <si>
    <t>DESCRIÇÃO DA CARGA</t>
  </si>
  <si>
    <t>CARGA</t>
  </si>
  <si>
    <t>REGIME</t>
  </si>
  <si>
    <t>cv</t>
  </si>
  <si>
    <t>D</t>
  </si>
  <si>
    <t>N</t>
  </si>
  <si>
    <t>kW</t>
  </si>
  <si>
    <t>DIURNA</t>
  </si>
  <si>
    <t>NOTURNA</t>
  </si>
  <si>
    <t>V A R I Á V E L</t>
  </si>
  <si>
    <t xml:space="preserve">Motores </t>
  </si>
  <si>
    <t>Possíveis</t>
  </si>
  <si>
    <t>(CV)</t>
  </si>
  <si>
    <t>Trifásico</t>
  </si>
  <si>
    <t>Monofásico</t>
  </si>
  <si>
    <t>maior  motor</t>
  </si>
  <si>
    <t>somatório</t>
  </si>
  <si>
    <t>Fator de demanda:</t>
  </si>
  <si>
    <t xml:space="preserve">TOTAL   DAS   CARGAS   VARIÁVEIS     </t>
  </si>
  <si>
    <t>PERMANENTE</t>
  </si>
  <si>
    <t>Obs:</t>
  </si>
  <si>
    <r>
      <t>n°</t>
    </r>
    <r>
      <rPr>
        <b/>
        <sz val="6"/>
        <rFont val="Times New Roman"/>
        <family val="1"/>
      </rPr>
      <t xml:space="preserve">
</t>
    </r>
    <r>
      <rPr>
        <sz val="10"/>
        <rFont val="Symbol"/>
        <family val="1"/>
      </rPr>
      <t>f</t>
    </r>
  </si>
  <si>
    <t>Nome da Planilha:</t>
  </si>
  <si>
    <t>Demanda Total.......................................................</t>
  </si>
  <si>
    <t>TABELAS PARA DEMANDA RURAL</t>
  </si>
  <si>
    <t>MOTOR 2CV</t>
  </si>
  <si>
    <t>MOTOR 1,5CV</t>
  </si>
  <si>
    <t>MOTOR</t>
  </si>
  <si>
    <t>RAIO X P/W</t>
  </si>
  <si>
    <t>Atividades Agrícolas Diversas (Residências)</t>
  </si>
  <si>
    <t>Aviário</t>
  </si>
  <si>
    <t>C13</t>
  </si>
  <si>
    <t>C14</t>
  </si>
  <si>
    <t>C15</t>
  </si>
  <si>
    <t>C16</t>
  </si>
  <si>
    <t>C17</t>
  </si>
  <si>
    <t>C18</t>
  </si>
  <si>
    <t>C19</t>
  </si>
  <si>
    <t>C20</t>
  </si>
  <si>
    <t>3.01</t>
  </si>
  <si>
    <t>Anexo 1 - Levant de carga e Cálc do Tipo de Fornec (26-03-2007)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</si>
</sst>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\ &quot;m2&quot;"/>
    <numFmt numFmtId="179" formatCode="#\ &quot;kW&quot;"/>
    <numFmt numFmtId="180" formatCode="##\ &quot;kW&quot;"/>
    <numFmt numFmtId="181" formatCode="0\ &quot;kW&quot;"/>
    <numFmt numFmtId="182" formatCode="0#\ &quot;kW&quot;"/>
    <numFmt numFmtId="183" formatCode="0.00\ &quot;kW&quot;"/>
    <numFmt numFmtId="184" formatCode="00000000"/>
    <numFmt numFmtId="185" formatCode="0.00\ &quot;kVA&quot;"/>
    <numFmt numFmtId="186" formatCode="0.00\ &quot;CV&quot;"/>
    <numFmt numFmtId="187" formatCode="0\ &quot;CV&quot;"/>
    <numFmt numFmtId="188" formatCode="0.0\ &quot;CV&quot;"/>
    <numFmt numFmtId="189" formatCode="0.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35"/>
      <name val="Arial"/>
      <family val="2"/>
    </font>
    <font>
      <sz val="12"/>
      <name val="Arial"/>
      <family val="2"/>
    </font>
    <font>
      <sz val="10"/>
      <color indexed="21"/>
      <name val="Arial"/>
      <family val="2"/>
    </font>
    <font>
      <sz val="16"/>
      <color indexed="21"/>
      <name val="Arial"/>
      <family val="2"/>
    </font>
    <font>
      <sz val="10"/>
      <color indexed="58"/>
      <name val="Arial"/>
      <family val="2"/>
    </font>
    <font>
      <b/>
      <sz val="16"/>
      <color indexed="58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Arial"/>
      <family val="2"/>
    </font>
    <font>
      <sz val="20"/>
      <color indexed="21"/>
      <name val="Arial"/>
      <family val="2"/>
    </font>
    <font>
      <b/>
      <sz val="16"/>
      <color indexed="21"/>
      <name val="Arial"/>
      <family val="2"/>
    </font>
    <font>
      <b/>
      <sz val="22"/>
      <color indexed="10"/>
      <name val="Arial"/>
      <family val="2"/>
    </font>
    <font>
      <b/>
      <sz val="32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5"/>
      <name val="Small Fonts"/>
      <family val="2"/>
    </font>
    <font>
      <b/>
      <sz val="6"/>
      <name val="Times New Roman"/>
      <family val="1"/>
    </font>
    <font>
      <sz val="10"/>
      <name val="Symbol"/>
      <family val="1"/>
    </font>
    <font>
      <b/>
      <sz val="9"/>
      <name val="Times New Roman"/>
      <family val="1"/>
    </font>
    <font>
      <b/>
      <sz val="6"/>
      <name val="Arial"/>
      <family val="2"/>
    </font>
    <font>
      <sz val="8"/>
      <color indexed="22"/>
      <name val="Times New Roman"/>
      <family val="1"/>
    </font>
    <font>
      <sz val="7"/>
      <color indexed="10"/>
      <name val="Small Fonts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20"/>
      <name val="Times New Roman"/>
      <family val="1"/>
    </font>
    <font>
      <sz val="10"/>
      <color indexed="9"/>
      <name val="Times New Roman"/>
      <family val="1"/>
    </font>
    <font>
      <b/>
      <sz val="8"/>
      <color indexed="22"/>
      <name val="Times New Roman"/>
      <family val="1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sz val="50"/>
      <name val="Arial"/>
      <family val="2"/>
    </font>
    <font>
      <sz val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38"/>
      </top>
      <bottom style="thin">
        <color indexed="38"/>
      </bottom>
    </border>
    <border>
      <left style="thin">
        <color indexed="9"/>
      </left>
      <right style="thin">
        <color indexed="21"/>
      </right>
      <top style="thin">
        <color indexed="38"/>
      </top>
      <bottom style="thin">
        <color indexed="38"/>
      </bottom>
    </border>
    <border>
      <left style="thin">
        <color indexed="21"/>
      </left>
      <right style="thin">
        <color indexed="21"/>
      </right>
      <top style="thin">
        <color indexed="38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>
        <color indexed="63"/>
      </left>
      <right style="thin"/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 style="thin">
        <color indexed="38"/>
      </top>
      <bottom>
        <color indexed="63"/>
      </bottom>
    </border>
    <border>
      <left>
        <color indexed="63"/>
      </left>
      <right style="thin"/>
      <top style="thin">
        <color indexed="38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>
        <color indexed="38"/>
      </left>
      <right style="thin">
        <color indexed="9"/>
      </right>
      <top style="thin">
        <color indexed="38"/>
      </top>
      <bottom style="thin">
        <color indexed="38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ashed"/>
    </border>
    <border>
      <left style="hair"/>
      <right style="hair"/>
      <top style="thick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double"/>
      <top style="thick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hair"/>
      <top style="thick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hair"/>
      <right style="double"/>
      <top style="hair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83" fontId="5" fillId="0" borderId="0" xfId="0" applyNumberFormat="1" applyFont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1" xfId="0" applyBorder="1" applyAlignment="1" quotePrefix="1">
      <alignment horizontal="center"/>
    </xf>
    <xf numFmtId="0" fontId="10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17" fillId="3" borderId="6" xfId="0" applyFont="1" applyFill="1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/>
      <protection hidden="1"/>
    </xf>
    <xf numFmtId="0" fontId="15" fillId="0" borderId="7" xfId="0" applyFont="1" applyBorder="1" applyAlignment="1" applyProtection="1">
      <alignment horizontal="center"/>
      <protection hidden="1"/>
    </xf>
    <xf numFmtId="1" fontId="15" fillId="0" borderId="7" xfId="0" applyNumberFormat="1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/>
      <protection hidden="1"/>
    </xf>
    <xf numFmtId="1" fontId="15" fillId="0" borderId="8" xfId="0" applyNumberFormat="1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4" fillId="0" borderId="8" xfId="0" applyFont="1" applyBorder="1" applyAlignment="1" applyProtection="1">
      <alignment horizontal="center"/>
      <protection locked="0"/>
    </xf>
    <xf numFmtId="178" fontId="13" fillId="0" borderId="12" xfId="0" applyNumberFormat="1" applyFon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88" fontId="15" fillId="0" borderId="8" xfId="0" applyNumberFormat="1" applyFont="1" applyBorder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 quotePrefix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1" fillId="0" borderId="16" xfId="0" applyFont="1" applyFill="1" applyBorder="1" applyAlignment="1" applyProtection="1" quotePrefix="1">
      <alignment horizontal="left"/>
      <protection hidden="1" locked="0"/>
    </xf>
    <xf numFmtId="0" fontId="0" fillId="0" borderId="16" xfId="0" applyFill="1" applyBorder="1" applyAlignment="1" applyProtection="1">
      <alignment/>
      <protection hidden="1" locked="0"/>
    </xf>
    <xf numFmtId="0" fontId="0" fillId="0" borderId="0" xfId="0" applyBorder="1" applyAlignment="1" applyProtection="1" quotePrefix="1">
      <alignment horizontal="left"/>
      <protection hidden="1" locked="0"/>
    </xf>
    <xf numFmtId="1" fontId="0" fillId="0" borderId="0" xfId="0" applyNumberFormat="1" applyFill="1" applyBorder="1" applyAlignment="1" applyProtection="1">
      <alignment/>
      <protection hidden="1" locked="0"/>
    </xf>
    <xf numFmtId="1" fontId="0" fillId="0" borderId="0" xfId="0" applyNumberForma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1" fontId="0" fillId="0" borderId="0" xfId="0" applyNumberFormat="1" applyFill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1" fontId="0" fillId="0" borderId="3" xfId="0" applyNumberForma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 horizontal="left"/>
      <protection hidden="1" locked="0"/>
    </xf>
    <xf numFmtId="0" fontId="0" fillId="0" borderId="3" xfId="0" applyFill="1" applyBorder="1" applyAlignment="1" applyProtection="1" quotePrefix="1">
      <alignment/>
      <protection hidden="1" locked="0"/>
    </xf>
    <xf numFmtId="0" fontId="14" fillId="0" borderId="0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2" fillId="0" borderId="11" xfId="0" applyFont="1" applyBorder="1" applyAlignment="1" applyProtection="1">
      <alignment horizontal="center"/>
      <protection hidden="1"/>
    </xf>
    <xf numFmtId="0" fontId="22" fillId="0" borderId="11" xfId="0" applyFont="1" applyBorder="1" applyAlignment="1" applyProtection="1" quotePrefix="1">
      <alignment horizontal="center"/>
      <protection hidden="1"/>
    </xf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5" borderId="2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9" fillId="0" borderId="0" xfId="0" applyFont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>
      <alignment/>
    </xf>
    <xf numFmtId="0" fontId="26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top"/>
    </xf>
    <xf numFmtId="0" fontId="24" fillId="0" borderId="0" xfId="0" applyFont="1" applyBorder="1" applyAlignment="1">
      <alignment/>
    </xf>
    <xf numFmtId="0" fontId="28" fillId="6" borderId="30" xfId="0" applyFont="1" applyFill="1" applyBorder="1" applyAlignment="1">
      <alignment horizontal="center" vertical="center"/>
    </xf>
    <xf numFmtId="0" fontId="28" fillId="6" borderId="31" xfId="0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right"/>
      <protection/>
    </xf>
    <xf numFmtId="0" fontId="28" fillId="0" borderId="32" xfId="0" applyFont="1" applyBorder="1" applyAlignment="1">
      <alignment horizontal="center" vertical="center"/>
    </xf>
    <xf numFmtId="2" fontId="28" fillId="0" borderId="33" xfId="0" applyNumberFormat="1" applyFont="1" applyBorder="1" applyAlignment="1">
      <alignment horizontal="center" vertical="center"/>
    </xf>
    <xf numFmtId="0" fontId="29" fillId="0" borderId="33" xfId="0" applyFont="1" applyBorder="1" applyAlignment="1" applyProtection="1">
      <alignment horizontal="left" vertical="center"/>
      <protection/>
    </xf>
    <xf numFmtId="1" fontId="27" fillId="6" borderId="0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 applyProtection="1">
      <alignment horizontal="center" vertical="center"/>
      <protection locked="0"/>
    </xf>
    <xf numFmtId="2" fontId="27" fillId="6" borderId="0" xfId="0" applyNumberFormat="1" applyFont="1" applyFill="1" applyBorder="1" applyAlignment="1" applyProtection="1">
      <alignment horizontal="center" vertical="center"/>
      <protection locked="0"/>
    </xf>
    <xf numFmtId="2" fontId="27" fillId="6" borderId="0" xfId="0" applyNumberFormat="1" applyFont="1" applyFill="1" applyBorder="1" applyAlignment="1" applyProtection="1">
      <alignment horizontal="center" vertical="center"/>
      <protection/>
    </xf>
    <xf numFmtId="2" fontId="35" fillId="6" borderId="34" xfId="0" applyNumberFormat="1" applyFont="1" applyFill="1" applyBorder="1" applyAlignment="1" applyProtection="1">
      <alignment horizontal="center" vertical="center"/>
      <protection locked="0"/>
    </xf>
    <xf numFmtId="0" fontId="27" fillId="0" borderId="35" xfId="0" applyNumberFormat="1" applyFont="1" applyBorder="1" applyAlignment="1" applyProtection="1">
      <alignment horizontal="center" vertical="center"/>
      <protection/>
    </xf>
    <xf numFmtId="2" fontId="27" fillId="4" borderId="34" xfId="0" applyNumberFormat="1" applyFont="1" applyFill="1" applyBorder="1" applyAlignment="1" applyProtection="1">
      <alignment horizontal="center" vertical="center"/>
      <protection hidden="1"/>
    </xf>
    <xf numFmtId="2" fontId="27" fillId="4" borderId="36" xfId="0" applyNumberFormat="1" applyFont="1" applyFill="1" applyBorder="1" applyAlignment="1" applyProtection="1">
      <alignment horizontal="center" vertical="center"/>
      <protection hidden="1"/>
    </xf>
    <xf numFmtId="2" fontId="27" fillId="4" borderId="37" xfId="0" applyNumberFormat="1" applyFont="1" applyFill="1" applyBorder="1" applyAlignment="1" applyProtection="1">
      <alignment horizontal="center" vertical="center"/>
      <protection hidden="1"/>
    </xf>
    <xf numFmtId="2" fontId="27" fillId="0" borderId="34" xfId="0" applyNumberFormat="1" applyFont="1" applyBorder="1" applyAlignment="1" applyProtection="1">
      <alignment horizontal="center" vertical="center"/>
      <protection hidden="1"/>
    </xf>
    <xf numFmtId="2" fontId="27" fillId="0" borderId="38" xfId="0" applyNumberFormat="1" applyFont="1" applyBorder="1" applyAlignment="1" applyProtection="1">
      <alignment horizontal="center" vertical="center"/>
      <protection hidden="1"/>
    </xf>
    <xf numFmtId="2" fontId="27" fillId="0" borderId="36" xfId="0" applyNumberFormat="1" applyFont="1" applyBorder="1" applyAlignment="1" applyProtection="1">
      <alignment horizontal="center" vertical="center"/>
      <protection hidden="1"/>
    </xf>
    <xf numFmtId="2" fontId="27" fillId="0" borderId="39" xfId="0" applyNumberFormat="1" applyFont="1" applyBorder="1" applyAlignment="1" applyProtection="1">
      <alignment horizontal="center" vertical="center"/>
      <protection hidden="1"/>
    </xf>
    <xf numFmtId="2" fontId="27" fillId="0" borderId="40" xfId="0" applyNumberFormat="1" applyFont="1" applyBorder="1" applyAlignment="1" applyProtection="1">
      <alignment horizontal="center" vertical="center"/>
      <protection hidden="1"/>
    </xf>
    <xf numFmtId="2" fontId="26" fillId="0" borderId="41" xfId="0" applyNumberFormat="1" applyFont="1" applyFill="1" applyBorder="1" applyAlignment="1" applyProtection="1">
      <alignment horizontal="center" vertical="center"/>
      <protection hidden="1"/>
    </xf>
    <xf numFmtId="2" fontId="26" fillId="0" borderId="42" xfId="0" applyNumberFormat="1" applyFont="1" applyFill="1" applyBorder="1" applyAlignment="1" applyProtection="1">
      <alignment horizontal="center" vertical="center"/>
      <protection hidden="1"/>
    </xf>
    <xf numFmtId="2" fontId="28" fillId="0" borderId="43" xfId="0" applyNumberFormat="1" applyFont="1" applyFill="1" applyBorder="1" applyAlignment="1" applyProtection="1">
      <alignment horizontal="center" vertical="center"/>
      <protection hidden="1"/>
    </xf>
    <xf numFmtId="2" fontId="28" fillId="0" borderId="44" xfId="0" applyNumberFormat="1" applyFont="1" applyFill="1" applyBorder="1" applyAlignment="1" applyProtection="1">
      <alignment horizontal="center" vertical="center"/>
      <protection hidden="1"/>
    </xf>
    <xf numFmtId="2" fontId="27" fillId="0" borderId="45" xfId="0" applyNumberFormat="1" applyFont="1" applyBorder="1" applyAlignment="1" applyProtection="1">
      <alignment horizontal="center" vertical="center"/>
      <protection hidden="1"/>
    </xf>
    <xf numFmtId="2" fontId="27" fillId="0" borderId="46" xfId="0" applyNumberFormat="1" applyFont="1" applyBorder="1" applyAlignment="1" applyProtection="1">
      <alignment horizontal="center" vertical="center"/>
      <protection hidden="1"/>
    </xf>
    <xf numFmtId="2" fontId="27" fillId="0" borderId="1" xfId="0" applyNumberFormat="1" applyFont="1" applyBorder="1" applyAlignment="1" applyProtection="1">
      <alignment horizontal="center" vertical="center"/>
      <protection hidden="1"/>
    </xf>
    <xf numFmtId="2" fontId="27" fillId="0" borderId="42" xfId="0" applyNumberFormat="1" applyFont="1" applyBorder="1" applyAlignment="1" applyProtection="1">
      <alignment horizontal="center" vertical="center"/>
      <protection hidden="1"/>
    </xf>
    <xf numFmtId="0" fontId="41" fillId="6" borderId="0" xfId="0" applyFont="1" applyFill="1" applyBorder="1" applyAlignment="1" applyProtection="1">
      <alignment horizontal="center" vertical="center"/>
      <protection hidden="1"/>
    </xf>
    <xf numFmtId="0" fontId="24" fillId="0" borderId="47" xfId="0" applyFont="1" applyBorder="1" applyAlignment="1" applyProtection="1">
      <alignment/>
      <protection locked="0"/>
    </xf>
    <xf numFmtId="0" fontId="24" fillId="0" borderId="48" xfId="0" applyFont="1" applyBorder="1" applyAlignment="1" applyProtection="1">
      <alignment/>
      <protection locked="0"/>
    </xf>
    <xf numFmtId="0" fontId="24" fillId="0" borderId="49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3" fillId="4" borderId="5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2" fillId="0" borderId="0" xfId="0" applyFont="1" applyAlignment="1">
      <alignment/>
    </xf>
    <xf numFmtId="0" fontId="15" fillId="0" borderId="8" xfId="0" applyFont="1" applyFill="1" applyBorder="1" applyAlignment="1" applyProtection="1">
      <alignment/>
      <protection hidden="1"/>
    </xf>
    <xf numFmtId="0" fontId="15" fillId="0" borderId="9" xfId="0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/>
      <protection hidden="1"/>
    </xf>
    <xf numFmtId="0" fontId="15" fillId="0" borderId="7" xfId="0" applyFont="1" applyFill="1" applyBorder="1" applyAlignment="1" applyProtection="1">
      <alignment horizontal="center"/>
      <protection hidden="1"/>
    </xf>
    <xf numFmtId="0" fontId="13" fillId="0" borderId="8" xfId="0" applyFont="1" applyFill="1" applyBorder="1" applyAlignment="1" applyProtection="1">
      <alignment horizontal="center"/>
      <protection locked="0"/>
    </xf>
    <xf numFmtId="1" fontId="15" fillId="0" borderId="8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24" fillId="0" borderId="0" xfId="0" applyNumberFormat="1" applyFont="1" applyFill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2" fontId="27" fillId="0" borderId="61" xfId="0" applyNumberFormat="1" applyFont="1" applyBorder="1" applyAlignment="1" applyProtection="1">
      <alignment horizontal="center" vertical="center"/>
      <protection hidden="1"/>
    </xf>
    <xf numFmtId="2" fontId="27" fillId="0" borderId="37" xfId="0" applyNumberFormat="1" applyFont="1" applyBorder="1" applyAlignment="1" applyProtection="1">
      <alignment horizontal="center" vertical="center"/>
      <protection hidden="1"/>
    </xf>
    <xf numFmtId="2" fontId="27" fillId="0" borderId="43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45" fillId="7" borderId="0" xfId="15" applyFill="1" applyAlignment="1">
      <alignment horizontal="center" wrapText="1"/>
    </xf>
    <xf numFmtId="0" fontId="45" fillId="6" borderId="0" xfId="15" applyFill="1" applyAlignment="1">
      <alignment horizontal="center" wrapText="1"/>
    </xf>
    <xf numFmtId="0" fontId="0" fillId="0" borderId="0" xfId="0" applyAlignment="1">
      <alignment/>
    </xf>
    <xf numFmtId="1" fontId="27" fillId="0" borderId="63" xfId="0" applyNumberFormat="1" applyFont="1" applyBorder="1" applyAlignment="1" applyProtection="1">
      <alignment horizontal="center" vertical="center"/>
      <protection locked="0"/>
    </xf>
    <xf numFmtId="1" fontId="27" fillId="0" borderId="64" xfId="0" applyNumberFormat="1" applyFont="1" applyBorder="1" applyAlignment="1" applyProtection="1">
      <alignment horizontal="center" vertical="center"/>
      <protection locked="0"/>
    </xf>
    <xf numFmtId="2" fontId="27" fillId="0" borderId="65" xfId="0" applyNumberFormat="1" applyFont="1" applyBorder="1" applyAlignment="1" applyProtection="1">
      <alignment horizontal="center" vertical="center"/>
      <protection locked="0"/>
    </xf>
    <xf numFmtId="1" fontId="27" fillId="0" borderId="66" xfId="0" applyNumberFormat="1" applyFont="1" applyBorder="1" applyAlignment="1" applyProtection="1">
      <alignment horizontal="center" vertical="center"/>
      <protection locked="0"/>
    </xf>
    <xf numFmtId="1" fontId="27" fillId="0" borderId="67" xfId="0" applyNumberFormat="1" applyFont="1" applyBorder="1" applyAlignment="1" applyProtection="1">
      <alignment horizontal="center" vertical="center"/>
      <protection locked="0"/>
    </xf>
    <xf numFmtId="2" fontId="27" fillId="0" borderId="68" xfId="0" applyNumberFormat="1" applyFont="1" applyBorder="1" applyAlignment="1" applyProtection="1">
      <alignment horizontal="center" vertical="center"/>
      <protection locked="0"/>
    </xf>
    <xf numFmtId="1" fontId="27" fillId="0" borderId="55" xfId="0" applyNumberFormat="1" applyFont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 applyProtection="1">
      <alignment horizontal="center" vertical="center"/>
      <protection locked="0"/>
    </xf>
    <xf numFmtId="2" fontId="27" fillId="0" borderId="1" xfId="0" applyNumberFormat="1" applyFont="1" applyBorder="1" applyAlignment="1" applyProtection="1">
      <alignment horizontal="center" vertical="center"/>
      <protection locked="0"/>
    </xf>
    <xf numFmtId="2" fontId="27" fillId="0" borderId="4" xfId="0" applyNumberFormat="1" applyFont="1" applyBorder="1" applyAlignment="1" applyProtection="1">
      <alignment horizontal="center" vertical="center"/>
      <protection hidden="1"/>
    </xf>
    <xf numFmtId="2" fontId="27" fillId="0" borderId="14" xfId="0" applyNumberFormat="1" applyFont="1" applyBorder="1" applyAlignment="1" applyProtection="1">
      <alignment horizontal="center" vertical="center"/>
      <protection hidden="1"/>
    </xf>
    <xf numFmtId="2" fontId="27" fillId="0" borderId="17" xfId="0" applyNumberFormat="1" applyFont="1" applyBorder="1" applyAlignment="1" applyProtection="1">
      <alignment horizontal="center" vertical="center"/>
      <protection hidden="1"/>
    </xf>
    <xf numFmtId="1" fontId="27" fillId="0" borderId="69" xfId="0" applyNumberFormat="1" applyFont="1" applyBorder="1" applyAlignment="1" applyProtection="1">
      <alignment horizontal="center" vertical="center"/>
      <protection locked="0"/>
    </xf>
    <xf numFmtId="1" fontId="27" fillId="0" borderId="70" xfId="0" applyNumberFormat="1" applyFont="1" applyBorder="1" applyAlignment="1" applyProtection="1">
      <alignment horizontal="center" vertical="center"/>
      <protection locked="0"/>
    </xf>
    <xf numFmtId="2" fontId="27" fillId="0" borderId="61" xfId="0" applyNumberFormat="1" applyFont="1" applyBorder="1" applyAlignment="1" applyProtection="1">
      <alignment horizontal="center" vertical="center"/>
      <protection locked="0"/>
    </xf>
    <xf numFmtId="2" fontId="35" fillId="6" borderId="71" xfId="0" applyNumberFormat="1" applyFont="1" applyFill="1" applyBorder="1" applyAlignment="1" applyProtection="1">
      <alignment horizontal="center" vertical="center"/>
      <protection locked="0"/>
    </xf>
    <xf numFmtId="1" fontId="27" fillId="0" borderId="72" xfId="0" applyNumberFormat="1" applyFont="1" applyBorder="1" applyAlignment="1" applyProtection="1">
      <alignment horizontal="center" vertical="center"/>
      <protection locked="0"/>
    </xf>
    <xf numFmtId="1" fontId="27" fillId="0" borderId="73" xfId="0" applyNumberFormat="1" applyFont="1" applyBorder="1" applyAlignment="1" applyProtection="1">
      <alignment horizontal="center" vertical="center"/>
      <protection locked="0"/>
    </xf>
    <xf numFmtId="2" fontId="27" fillId="0" borderId="43" xfId="0" applyNumberFormat="1" applyFont="1" applyBorder="1" applyAlignment="1" applyProtection="1">
      <alignment horizontal="center" vertical="center"/>
      <protection locked="0"/>
    </xf>
    <xf numFmtId="2" fontId="27" fillId="4" borderId="74" xfId="0" applyNumberFormat="1" applyFont="1" applyFill="1" applyBorder="1" applyAlignment="1" applyProtection="1">
      <alignment horizontal="center" vertical="center"/>
      <protection hidden="1"/>
    </xf>
    <xf numFmtId="2" fontId="27" fillId="0" borderId="74" xfId="0" applyNumberFormat="1" applyFont="1" applyBorder="1" applyAlignment="1" applyProtection="1">
      <alignment horizontal="center" vertical="center"/>
      <protection hidden="1"/>
    </xf>
    <xf numFmtId="0" fontId="45" fillId="8" borderId="0" xfId="15" applyFill="1" applyAlignment="1">
      <alignment horizontal="left" wrapText="1"/>
    </xf>
    <xf numFmtId="0" fontId="27" fillId="0" borderId="75" xfId="0" applyFont="1" applyBorder="1" applyAlignment="1" applyProtection="1">
      <alignment horizontal="left" vertical="center"/>
      <protection locked="0"/>
    </xf>
    <xf numFmtId="0" fontId="28" fillId="0" borderId="47" xfId="0" applyFont="1" applyBorder="1" applyAlignment="1" applyProtection="1">
      <alignment/>
      <protection locked="0"/>
    </xf>
    <xf numFmtId="0" fontId="45" fillId="8" borderId="0" xfId="15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45" fillId="6" borderId="0" xfId="15" applyFill="1" applyAlignment="1">
      <alignment horizontal="right" wrapText="1"/>
    </xf>
    <xf numFmtId="0" fontId="0" fillId="7" borderId="0" xfId="0" applyFill="1" applyAlignment="1">
      <alignment horizontal="right" wrapText="1"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right" wrapText="1"/>
    </xf>
    <xf numFmtId="185" fontId="16" fillId="0" borderId="3" xfId="0" applyNumberFormat="1" applyFont="1" applyBorder="1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 horizontal="left"/>
      <protection hidden="1"/>
    </xf>
    <xf numFmtId="185" fontId="16" fillId="0" borderId="0" xfId="0" applyNumberFormat="1" applyFont="1" applyBorder="1" applyAlignment="1" applyProtection="1">
      <alignment horizontal="left"/>
      <protection hidden="1" locked="0"/>
    </xf>
    <xf numFmtId="183" fontId="20" fillId="0" borderId="0" xfId="0" applyNumberFormat="1" applyFont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left"/>
      <protection locked="0"/>
    </xf>
    <xf numFmtId="0" fontId="4" fillId="0" borderId="76" xfId="0" applyFont="1" applyFill="1" applyBorder="1" applyAlignment="1" applyProtection="1">
      <alignment horizontal="left"/>
      <protection hidden="1" locked="0"/>
    </xf>
    <xf numFmtId="0" fontId="4" fillId="0" borderId="77" xfId="0" applyFont="1" applyFill="1" applyBorder="1" applyAlignment="1" applyProtection="1">
      <alignment horizontal="left"/>
      <protection hidden="1" locked="0"/>
    </xf>
    <xf numFmtId="0" fontId="4" fillId="0" borderId="78" xfId="0" applyFont="1" applyFill="1" applyBorder="1" applyAlignment="1" applyProtection="1">
      <alignment horizontal="left"/>
      <protection hidden="1" locked="0"/>
    </xf>
    <xf numFmtId="185" fontId="43" fillId="0" borderId="79" xfId="0" applyNumberFormat="1" applyFont="1" applyBorder="1" applyAlignment="1" applyProtection="1">
      <alignment horizontal="left"/>
      <protection hidden="1" locked="0"/>
    </xf>
    <xf numFmtId="185" fontId="43" fillId="0" borderId="80" xfId="0" applyNumberFormat="1" applyFont="1" applyBorder="1" applyAlignment="1" applyProtection="1">
      <alignment horizontal="left"/>
      <protection hidden="1" locked="0"/>
    </xf>
    <xf numFmtId="183" fontId="5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183" fontId="2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/>
      <protection hidden="1" locked="0"/>
    </xf>
    <xf numFmtId="0" fontId="11" fillId="0" borderId="18" xfId="0" applyFont="1" applyBorder="1" applyAlignment="1" applyProtection="1">
      <alignment horizontal="left"/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13" fillId="0" borderId="81" xfId="0" applyFont="1" applyBorder="1" applyAlignment="1" applyProtection="1">
      <alignment horizontal="left"/>
      <protection locked="0"/>
    </xf>
    <xf numFmtId="0" fontId="13" fillId="0" borderId="82" xfId="0" applyFont="1" applyBorder="1" applyAlignment="1" applyProtection="1">
      <alignment horizontal="left"/>
      <protection locked="0"/>
    </xf>
    <xf numFmtId="0" fontId="13" fillId="0" borderId="83" xfId="0" applyFont="1" applyBorder="1" applyAlignment="1" applyProtection="1">
      <alignment horizontal="left"/>
      <protection locked="0"/>
    </xf>
    <xf numFmtId="0" fontId="13" fillId="0" borderId="81" xfId="0" applyNumberFormat="1" applyFont="1" applyBorder="1" applyAlignment="1" applyProtection="1">
      <alignment horizontal="left"/>
      <protection locked="0"/>
    </xf>
    <xf numFmtId="0" fontId="13" fillId="0" borderId="83" xfId="0" applyNumberFormat="1" applyFont="1" applyBorder="1" applyAlignment="1" applyProtection="1">
      <alignment horizontal="left"/>
      <protection locked="0"/>
    </xf>
    <xf numFmtId="0" fontId="17" fillId="3" borderId="84" xfId="0" applyFont="1" applyFill="1" applyBorder="1" applyAlignment="1" applyProtection="1">
      <alignment horizontal="center"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27" fillId="0" borderId="85" xfId="0" applyFont="1" applyBorder="1" applyAlignment="1" applyProtection="1">
      <alignment horizontal="left" vertical="center"/>
      <protection locked="0"/>
    </xf>
    <xf numFmtId="0" fontId="27" fillId="0" borderId="86" xfId="0" applyFont="1" applyBorder="1" applyAlignment="1" applyProtection="1">
      <alignment horizontal="left" vertical="center"/>
      <protection locked="0"/>
    </xf>
    <xf numFmtId="0" fontId="30" fillId="6" borderId="87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4" borderId="35" xfId="0" applyFont="1" applyFill="1" applyBorder="1" applyAlignment="1" applyProtection="1">
      <alignment horizontal="center" vertical="center"/>
      <protection/>
    </xf>
    <xf numFmtId="0" fontId="28" fillId="4" borderId="30" xfId="0" applyFont="1" applyFill="1" applyBorder="1" applyAlignment="1" applyProtection="1">
      <alignment horizontal="center" vertical="center"/>
      <protection/>
    </xf>
    <xf numFmtId="0" fontId="27" fillId="0" borderId="88" xfId="0" applyFont="1" applyBorder="1" applyAlignment="1" applyProtection="1">
      <alignment horizontal="left" vertical="center"/>
      <protection locked="0"/>
    </xf>
    <xf numFmtId="0" fontId="31" fillId="6" borderId="87" xfId="0" applyFont="1" applyFill="1" applyBorder="1" applyAlignment="1">
      <alignment horizontal="center" vertical="center"/>
    </xf>
    <xf numFmtId="0" fontId="31" fillId="6" borderId="87" xfId="0" applyFont="1" applyFill="1" applyBorder="1" applyAlignment="1">
      <alignment horizontal="center" vertical="center" wrapText="1"/>
    </xf>
    <xf numFmtId="0" fontId="31" fillId="6" borderId="8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90" xfId="0" applyFont="1" applyBorder="1" applyAlignment="1" applyProtection="1">
      <alignment vertical="center"/>
      <protection locked="0"/>
    </xf>
    <xf numFmtId="0" fontId="27" fillId="0" borderId="91" xfId="0" applyFont="1" applyBorder="1" applyAlignment="1" applyProtection="1">
      <alignment vertical="center"/>
      <protection locked="0"/>
    </xf>
    <xf numFmtId="0" fontId="27" fillId="0" borderId="92" xfId="0" applyFont="1" applyBorder="1" applyAlignment="1" applyProtection="1">
      <alignment vertical="center"/>
      <protection locked="0"/>
    </xf>
    <xf numFmtId="0" fontId="27" fillId="6" borderId="0" xfId="0" applyFont="1" applyFill="1" applyBorder="1" applyAlignment="1" applyProtection="1">
      <alignment vertical="center"/>
      <protection locked="0"/>
    </xf>
    <xf numFmtId="0" fontId="34" fillId="6" borderId="93" xfId="0" applyFont="1" applyFill="1" applyBorder="1" applyAlignment="1">
      <alignment horizontal="center" vertical="center" textRotation="255"/>
    </xf>
    <xf numFmtId="0" fontId="34" fillId="6" borderId="16" xfId="0" applyFont="1" applyFill="1" applyBorder="1" applyAlignment="1">
      <alignment horizontal="center" vertical="center" textRotation="255"/>
    </xf>
    <xf numFmtId="0" fontId="34" fillId="6" borderId="94" xfId="0" applyFont="1" applyFill="1" applyBorder="1" applyAlignment="1">
      <alignment horizontal="center" vertical="center" textRotation="255"/>
    </xf>
    <xf numFmtId="0" fontId="34" fillId="6" borderId="0" xfId="0" applyFont="1" applyFill="1" applyBorder="1" applyAlignment="1">
      <alignment horizontal="center" vertical="center" textRotation="255"/>
    </xf>
    <xf numFmtId="0" fontId="34" fillId="6" borderId="95" xfId="0" applyFont="1" applyFill="1" applyBorder="1" applyAlignment="1">
      <alignment horizontal="center" vertical="center" textRotation="255"/>
    </xf>
    <xf numFmtId="0" fontId="34" fillId="6" borderId="59" xfId="0" applyFont="1" applyFill="1" applyBorder="1" applyAlignment="1">
      <alignment horizontal="center" vertical="center" textRotation="255"/>
    </xf>
    <xf numFmtId="0" fontId="27" fillId="0" borderId="96" xfId="0" applyFont="1" applyBorder="1" applyAlignment="1" applyProtection="1">
      <alignment vertical="center"/>
      <protection locked="0"/>
    </xf>
    <xf numFmtId="0" fontId="27" fillId="0" borderId="97" xfId="0" applyFont="1" applyBorder="1" applyAlignment="1" applyProtection="1">
      <alignment vertical="center"/>
      <protection locked="0"/>
    </xf>
    <xf numFmtId="0" fontId="27" fillId="0" borderId="98" xfId="0" applyFont="1" applyBorder="1" applyAlignment="1" applyProtection="1">
      <alignment vertical="center"/>
      <protection locked="0"/>
    </xf>
    <xf numFmtId="0" fontId="28" fillId="6" borderId="0" xfId="0" applyFont="1" applyFill="1" applyBorder="1" applyAlignment="1">
      <alignment horizontal="right" vertical="center"/>
    </xf>
    <xf numFmtId="0" fontId="34" fillId="6" borderId="99" xfId="0" applyFont="1" applyFill="1" applyBorder="1" applyAlignment="1">
      <alignment horizontal="center" vertical="center" textRotation="255"/>
    </xf>
    <xf numFmtId="0" fontId="34" fillId="6" borderId="51" xfId="0" applyFont="1" applyFill="1" applyBorder="1" applyAlignment="1">
      <alignment horizontal="center" vertical="center" textRotation="255"/>
    </xf>
    <xf numFmtId="0" fontId="24" fillId="0" borderId="0" xfId="0" applyFont="1" applyFill="1" applyAlignment="1">
      <alignment/>
    </xf>
    <xf numFmtId="0" fontId="26" fillId="0" borderId="0" xfId="0" applyFont="1" applyBorder="1" applyAlignment="1" applyProtection="1">
      <alignment horizontal="right"/>
      <protection locked="0"/>
    </xf>
    <xf numFmtId="0" fontId="33" fillId="6" borderId="87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0" fontId="33" fillId="6" borderId="30" xfId="0" applyFont="1" applyFill="1" applyBorder="1" applyAlignment="1">
      <alignment horizontal="center" vertical="center" wrapText="1"/>
    </xf>
    <xf numFmtId="0" fontId="28" fillId="0" borderId="100" xfId="0" applyFont="1" applyBorder="1" applyAlignment="1">
      <alignment horizontal="center" textRotation="255"/>
    </xf>
    <xf numFmtId="0" fontId="0" fillId="0" borderId="47" xfId="0" applyBorder="1" applyAlignment="1">
      <alignment/>
    </xf>
    <xf numFmtId="0" fontId="0" fillId="0" borderId="101" xfId="0" applyBorder="1" applyAlignment="1">
      <alignment/>
    </xf>
    <xf numFmtId="0" fontId="0" fillId="0" borderId="49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24" fillId="0" borderId="0" xfId="0" applyFont="1" applyAlignment="1">
      <alignment/>
    </xf>
    <xf numFmtId="0" fontId="31" fillId="6" borderId="94" xfId="0" applyFont="1" applyFill="1" applyBorder="1" applyAlignment="1">
      <alignment horizontal="center" vertical="center" textRotation="90"/>
    </xf>
    <xf numFmtId="0" fontId="31" fillId="6" borderId="0" xfId="0" applyFont="1" applyFill="1" applyBorder="1" applyAlignment="1">
      <alignment horizontal="center" vertical="center" textRotation="90"/>
    </xf>
    <xf numFmtId="0" fontId="28" fillId="6" borderId="59" xfId="0" applyFont="1" applyFill="1" applyBorder="1" applyAlignment="1">
      <alignment horizontal="right" vertical="center"/>
    </xf>
    <xf numFmtId="0" fontId="27" fillId="0" borderId="103" xfId="0" applyFont="1" applyBorder="1" applyAlignment="1" applyProtection="1">
      <alignment horizontal="right"/>
      <protection locked="0"/>
    </xf>
    <xf numFmtId="0" fontId="24" fillId="0" borderId="103" xfId="0" applyFont="1" applyBorder="1" applyAlignment="1" applyProtection="1">
      <alignment horizontal="right"/>
      <protection locked="0"/>
    </xf>
    <xf numFmtId="0" fontId="24" fillId="0" borderId="104" xfId="0" applyFont="1" applyBorder="1" applyAlignment="1" applyProtection="1">
      <alignment horizontal="right"/>
      <protection locked="0"/>
    </xf>
    <xf numFmtId="0" fontId="40" fillId="0" borderId="0" xfId="0" applyFont="1" applyBorder="1" applyAlignment="1" applyProtection="1">
      <alignment/>
      <protection hidden="1"/>
    </xf>
    <xf numFmtId="0" fontId="26" fillId="0" borderId="105" xfId="0" applyFont="1" applyBorder="1" applyAlignment="1">
      <alignment horizontal="left"/>
    </xf>
    <xf numFmtId="0" fontId="26" fillId="0" borderId="75" xfId="0" applyFont="1" applyBorder="1" applyAlignment="1">
      <alignment horizontal="left"/>
    </xf>
    <xf numFmtId="0" fontId="26" fillId="0" borderId="9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106" xfId="0" applyFont="1" applyBorder="1" applyAlignment="1" applyProtection="1">
      <alignment horizontal="left" vertical="center"/>
      <protection locked="0"/>
    </xf>
    <xf numFmtId="0" fontId="27" fillId="0" borderId="107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right"/>
      <protection/>
    </xf>
    <xf numFmtId="0" fontId="30" fillId="6" borderId="108" xfId="0" applyFont="1" applyFill="1" applyBorder="1" applyAlignment="1">
      <alignment horizontal="center" vertical="center" textRotation="90"/>
    </xf>
    <xf numFmtId="0" fontId="0" fillId="0" borderId="8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7" fillId="0" borderId="106" xfId="0" applyFont="1" applyBorder="1" applyAlignment="1" applyProtection="1">
      <alignment horizontal="left"/>
      <protection locked="0"/>
    </xf>
    <xf numFmtId="2" fontId="29" fillId="0" borderId="51" xfId="0" applyNumberFormat="1" applyFont="1" applyFill="1" applyBorder="1" applyAlignment="1" applyProtection="1">
      <alignment horizontal="center" vertical="center"/>
      <protection hidden="1"/>
    </xf>
    <xf numFmtId="2" fontId="29" fillId="0" borderId="111" xfId="0" applyNumberFormat="1" applyFont="1" applyFill="1" applyBorder="1" applyAlignment="1" applyProtection="1">
      <alignment horizontal="center" vertical="center"/>
      <protection hidden="1"/>
    </xf>
    <xf numFmtId="2" fontId="29" fillId="0" borderId="59" xfId="0" applyNumberFormat="1" applyFont="1" applyFill="1" applyBorder="1" applyAlignment="1" applyProtection="1">
      <alignment horizontal="center" vertical="center"/>
      <protection hidden="1"/>
    </xf>
    <xf numFmtId="2" fontId="29" fillId="0" borderId="112" xfId="0" applyNumberFormat="1" applyFont="1" applyFill="1" applyBorder="1" applyAlignment="1" applyProtection="1">
      <alignment horizontal="center" vertical="center"/>
      <protection hidden="1"/>
    </xf>
    <xf numFmtId="2" fontId="29" fillId="0" borderId="113" xfId="0" applyNumberFormat="1" applyFont="1" applyFill="1" applyBorder="1" applyAlignment="1" applyProtection="1">
      <alignment horizontal="center"/>
      <protection hidden="1"/>
    </xf>
    <xf numFmtId="2" fontId="29" fillId="0" borderId="114" xfId="0" applyNumberFormat="1" applyFont="1" applyFill="1" applyBorder="1" applyAlignment="1" applyProtection="1">
      <alignment horizontal="center"/>
      <protection hidden="1"/>
    </xf>
    <xf numFmtId="2" fontId="29" fillId="0" borderId="115" xfId="0" applyNumberFormat="1" applyFont="1" applyFill="1" applyBorder="1" applyAlignment="1" applyProtection="1">
      <alignment horizontal="center"/>
      <protection hidden="1"/>
    </xf>
    <xf numFmtId="2" fontId="28" fillId="0" borderId="61" xfId="0" applyNumberFormat="1" applyFont="1" applyBorder="1" applyAlignment="1" applyProtection="1">
      <alignment horizontal="center" vertical="center"/>
      <protection/>
    </xf>
    <xf numFmtId="2" fontId="28" fillId="0" borderId="116" xfId="0" applyNumberFormat="1" applyFont="1" applyBorder="1" applyAlignment="1" applyProtection="1">
      <alignment horizontal="center" vertical="center"/>
      <protection/>
    </xf>
    <xf numFmtId="2" fontId="29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" fontId="26" fillId="0" borderId="117" xfId="0" applyNumberFormat="1" applyFont="1" applyFill="1" applyBorder="1" applyAlignment="1" applyProtection="1">
      <alignment horizontal="center" vertical="center"/>
      <protection hidden="1"/>
    </xf>
    <xf numFmtId="2" fontId="26" fillId="0" borderId="118" xfId="0" applyNumberFormat="1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>
      <alignment horizontal="right" vertical="center"/>
    </xf>
    <xf numFmtId="2" fontId="28" fillId="0" borderId="69" xfId="0" applyNumberFormat="1" applyFont="1" applyBorder="1" applyAlignment="1" applyProtection="1">
      <alignment horizontal="center" vertical="center"/>
      <protection locked="0"/>
    </xf>
    <xf numFmtId="2" fontId="28" fillId="0" borderId="61" xfId="0" applyNumberFormat="1" applyFont="1" applyBorder="1" applyAlignment="1" applyProtection="1">
      <alignment horizontal="center" vertical="center"/>
      <protection locked="0"/>
    </xf>
    <xf numFmtId="0" fontId="27" fillId="0" borderId="119" xfId="0" applyFont="1" applyBorder="1" applyAlignment="1" applyProtection="1">
      <alignment vertical="center"/>
      <protection locked="0"/>
    </xf>
    <xf numFmtId="0" fontId="27" fillId="0" borderId="120" xfId="0" applyFont="1" applyBorder="1" applyAlignment="1" applyProtection="1">
      <alignment vertical="center"/>
      <protection locked="0"/>
    </xf>
    <xf numFmtId="0" fontId="27" fillId="0" borderId="121" xfId="0" applyFont="1" applyBorder="1" applyAlignment="1" applyProtection="1">
      <alignment vertical="center"/>
      <protection locked="0"/>
    </xf>
    <xf numFmtId="0" fontId="31" fillId="6" borderId="35" xfId="0" applyFont="1" applyFill="1" applyBorder="1" applyAlignment="1">
      <alignment horizontal="center" vertical="center"/>
    </xf>
    <xf numFmtId="0" fontId="31" fillId="6" borderId="30" xfId="0" applyFont="1" applyFill="1" applyBorder="1" applyAlignment="1">
      <alignment horizontal="center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1" fillId="6" borderId="125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0" fontId="28" fillId="6" borderId="30" xfId="0" applyFont="1" applyFill="1" applyBorder="1" applyAlignment="1">
      <alignment horizontal="center" vertical="center"/>
    </xf>
    <xf numFmtId="0" fontId="27" fillId="0" borderId="126" xfId="0" applyFont="1" applyBorder="1" applyAlignment="1" applyProtection="1">
      <alignment vertical="center"/>
      <protection locked="0"/>
    </xf>
    <xf numFmtId="0" fontId="27" fillId="0" borderId="127" xfId="0" applyFont="1" applyBorder="1" applyAlignment="1" applyProtection="1">
      <alignment vertical="center"/>
      <protection locked="0"/>
    </xf>
    <xf numFmtId="0" fontId="27" fillId="0" borderId="128" xfId="0" applyFont="1" applyBorder="1" applyAlignment="1" applyProtection="1">
      <alignment vertical="center"/>
      <protection locked="0"/>
    </xf>
    <xf numFmtId="0" fontId="27" fillId="0" borderId="129" xfId="0" applyFont="1" applyBorder="1" applyAlignment="1" applyProtection="1">
      <alignment vertical="center"/>
      <protection locked="0"/>
    </xf>
    <xf numFmtId="0" fontId="27" fillId="0" borderId="130" xfId="0" applyFont="1" applyBorder="1" applyAlignment="1" applyProtection="1">
      <alignment vertical="center"/>
      <protection locked="0"/>
    </xf>
    <xf numFmtId="0" fontId="27" fillId="0" borderId="131" xfId="0" applyFont="1" applyBorder="1" applyAlignment="1" applyProtection="1">
      <alignment vertical="center"/>
      <protection locked="0"/>
    </xf>
    <xf numFmtId="2" fontId="29" fillId="0" borderId="52" xfId="0" applyNumberFormat="1" applyFont="1" applyFill="1" applyBorder="1" applyAlignment="1" applyProtection="1">
      <alignment horizontal="center" vertical="center"/>
      <protection hidden="1"/>
    </xf>
    <xf numFmtId="2" fontId="29" fillId="0" borderId="58" xfId="0" applyNumberFormat="1" applyFont="1" applyFill="1" applyBorder="1" applyAlignment="1" applyProtection="1">
      <alignment horizontal="center" vertical="center"/>
      <protection hidden="1"/>
    </xf>
    <xf numFmtId="2" fontId="29" fillId="0" borderId="6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Border="1" applyAlignment="1">
      <alignment horizontal="left"/>
    </xf>
    <xf numFmtId="0" fontId="40" fillId="0" borderId="132" xfId="0" applyFont="1" applyBorder="1" applyAlignment="1" applyProtection="1">
      <alignment horizontal="right"/>
      <protection hidden="1"/>
    </xf>
    <xf numFmtId="0" fontId="0" fillId="0" borderId="1" xfId="0" applyBorder="1" applyAlignment="1">
      <alignment horizontal="center"/>
    </xf>
    <xf numFmtId="0" fontId="23" fillId="5" borderId="29" xfId="0" applyFont="1" applyFill="1" applyBorder="1" applyAlignment="1" applyProtection="1">
      <alignment horizontal="center" vertical="center"/>
      <protection hidden="1"/>
    </xf>
    <xf numFmtId="0" fontId="23" fillId="5" borderId="25" xfId="0" applyFont="1" applyFill="1" applyBorder="1" applyAlignment="1" applyProtection="1">
      <alignment horizontal="center" vertical="center"/>
      <protection hidden="1"/>
    </xf>
    <xf numFmtId="0" fontId="23" fillId="5" borderId="133" xfId="0" applyFont="1" applyFill="1" applyBorder="1" applyAlignment="1">
      <alignment horizontal="center"/>
    </xf>
    <xf numFmtId="0" fontId="23" fillId="5" borderId="134" xfId="0" applyFont="1" applyFill="1" applyBorder="1" applyAlignment="1">
      <alignment horizontal="center"/>
    </xf>
    <xf numFmtId="0" fontId="23" fillId="6" borderId="135" xfId="0" applyFont="1" applyFill="1" applyBorder="1" applyAlignment="1">
      <alignment horizontal="center"/>
    </xf>
    <xf numFmtId="0" fontId="23" fillId="6" borderId="136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8" fillId="0" borderId="0" xfId="0" applyFont="1" applyAlignment="1" applyProtection="1">
      <alignment horizontal="center"/>
      <protection hidden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4">
    <dxf>
      <font>
        <color rgb="FFFFFFFF"/>
      </font>
      <border/>
    </dxf>
    <dxf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37.emf" /><Relationship Id="rId4" Type="http://schemas.openxmlformats.org/officeDocument/2006/relationships/image" Target="../media/image88.emf" /><Relationship Id="rId5" Type="http://schemas.openxmlformats.org/officeDocument/2006/relationships/image" Target="../media/image15.emf" /><Relationship Id="rId6" Type="http://schemas.openxmlformats.org/officeDocument/2006/relationships/image" Target="../media/image20.emf" /><Relationship Id="rId7" Type="http://schemas.openxmlformats.org/officeDocument/2006/relationships/image" Target="../media/image26.emf" /><Relationship Id="rId8" Type="http://schemas.openxmlformats.org/officeDocument/2006/relationships/image" Target="../media/image32.emf" /><Relationship Id="rId9" Type="http://schemas.openxmlformats.org/officeDocument/2006/relationships/image" Target="../media/image87.emf" /><Relationship Id="rId10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8.emf" /><Relationship Id="rId3" Type="http://schemas.openxmlformats.org/officeDocument/2006/relationships/image" Target="../media/image5.emf" /><Relationship Id="rId4" Type="http://schemas.openxmlformats.org/officeDocument/2006/relationships/image" Target="../media/image89.emf" /><Relationship Id="rId5" Type="http://schemas.openxmlformats.org/officeDocument/2006/relationships/image" Target="../media/image101.emf" /><Relationship Id="rId6" Type="http://schemas.openxmlformats.org/officeDocument/2006/relationships/image" Target="../media/image91.emf" /><Relationship Id="rId7" Type="http://schemas.openxmlformats.org/officeDocument/2006/relationships/image" Target="../media/image92.emf" /><Relationship Id="rId8" Type="http://schemas.openxmlformats.org/officeDocument/2006/relationships/image" Target="../media/image95.emf" /><Relationship Id="rId9" Type="http://schemas.openxmlformats.org/officeDocument/2006/relationships/image" Target="../media/image17.emf" /><Relationship Id="rId10" Type="http://schemas.openxmlformats.org/officeDocument/2006/relationships/image" Target="../media/image4.emf" /><Relationship Id="rId11" Type="http://schemas.openxmlformats.org/officeDocument/2006/relationships/image" Target="../media/image90.emf" /><Relationship Id="rId12" Type="http://schemas.openxmlformats.org/officeDocument/2006/relationships/image" Target="../media/image96.emf" /><Relationship Id="rId13" Type="http://schemas.openxmlformats.org/officeDocument/2006/relationships/image" Target="../media/image7.emf" /><Relationship Id="rId14" Type="http://schemas.openxmlformats.org/officeDocument/2006/relationships/image" Target="../media/image38.emf" /><Relationship Id="rId15" Type="http://schemas.openxmlformats.org/officeDocument/2006/relationships/image" Target="../media/image93.emf" /><Relationship Id="rId16" Type="http://schemas.openxmlformats.org/officeDocument/2006/relationships/image" Target="../media/image33.emf" /><Relationship Id="rId17" Type="http://schemas.openxmlformats.org/officeDocument/2006/relationships/image" Target="../media/image84.emf" /><Relationship Id="rId18" Type="http://schemas.openxmlformats.org/officeDocument/2006/relationships/image" Target="../media/image94.emf" /><Relationship Id="rId19" Type="http://schemas.openxmlformats.org/officeDocument/2006/relationships/image" Target="../media/image34.emf" /><Relationship Id="rId20" Type="http://schemas.openxmlformats.org/officeDocument/2006/relationships/image" Target="../media/image13.emf" /><Relationship Id="rId21" Type="http://schemas.openxmlformats.org/officeDocument/2006/relationships/image" Target="../media/image16.emf" /><Relationship Id="rId22" Type="http://schemas.openxmlformats.org/officeDocument/2006/relationships/image" Target="../media/image27.emf" /><Relationship Id="rId23" Type="http://schemas.openxmlformats.org/officeDocument/2006/relationships/image" Target="../media/image86.emf" /><Relationship Id="rId24" Type="http://schemas.openxmlformats.org/officeDocument/2006/relationships/image" Target="../media/image97.emf" /><Relationship Id="rId25" Type="http://schemas.openxmlformats.org/officeDocument/2006/relationships/image" Target="../media/image98.emf" /><Relationship Id="rId26" Type="http://schemas.openxmlformats.org/officeDocument/2006/relationships/image" Target="../media/image100.emf" /><Relationship Id="rId27" Type="http://schemas.openxmlformats.org/officeDocument/2006/relationships/image" Target="../media/image24.emf" /><Relationship Id="rId28" Type="http://schemas.openxmlformats.org/officeDocument/2006/relationships/image" Target="../media/image2.emf" /><Relationship Id="rId29" Type="http://schemas.openxmlformats.org/officeDocument/2006/relationships/image" Target="../media/image19.emf" /><Relationship Id="rId30" Type="http://schemas.openxmlformats.org/officeDocument/2006/relationships/image" Target="../media/image99.emf" /><Relationship Id="rId31" Type="http://schemas.openxmlformats.org/officeDocument/2006/relationships/image" Target="../media/image6.emf" /><Relationship Id="rId32" Type="http://schemas.openxmlformats.org/officeDocument/2006/relationships/image" Target="../media/image85.emf" /><Relationship Id="rId33" Type="http://schemas.openxmlformats.org/officeDocument/2006/relationships/image" Target="../media/image39.emf" /><Relationship Id="rId34" Type="http://schemas.openxmlformats.org/officeDocument/2006/relationships/image" Target="../media/image9.emf" /><Relationship Id="rId35" Type="http://schemas.openxmlformats.org/officeDocument/2006/relationships/image" Target="../media/image22.emf" /><Relationship Id="rId36" Type="http://schemas.openxmlformats.org/officeDocument/2006/relationships/image" Target="../media/image12.emf" /><Relationship Id="rId37" Type="http://schemas.openxmlformats.org/officeDocument/2006/relationships/image" Target="../media/image14.emf" /><Relationship Id="rId38" Type="http://schemas.openxmlformats.org/officeDocument/2006/relationships/image" Target="../media/image40.emf" /><Relationship Id="rId39" Type="http://schemas.openxmlformats.org/officeDocument/2006/relationships/image" Target="../media/image41.emf" /><Relationship Id="rId40" Type="http://schemas.openxmlformats.org/officeDocument/2006/relationships/image" Target="../media/image42.emf" /><Relationship Id="rId41" Type="http://schemas.openxmlformats.org/officeDocument/2006/relationships/image" Target="../media/image43.emf" /><Relationship Id="rId42" Type="http://schemas.openxmlformats.org/officeDocument/2006/relationships/image" Target="../media/image44.emf" /><Relationship Id="rId43" Type="http://schemas.openxmlformats.org/officeDocument/2006/relationships/image" Target="../media/image45.emf" /><Relationship Id="rId44" Type="http://schemas.openxmlformats.org/officeDocument/2006/relationships/image" Target="../media/image46.emf" /><Relationship Id="rId45" Type="http://schemas.openxmlformats.org/officeDocument/2006/relationships/image" Target="../media/image47.emf" /><Relationship Id="rId46" Type="http://schemas.openxmlformats.org/officeDocument/2006/relationships/image" Target="../media/image49.emf" /><Relationship Id="rId47" Type="http://schemas.openxmlformats.org/officeDocument/2006/relationships/image" Target="../media/image3.emf" /><Relationship Id="rId48" Type="http://schemas.openxmlformats.org/officeDocument/2006/relationships/image" Target="../media/image50.emf" /><Relationship Id="rId49" Type="http://schemas.openxmlformats.org/officeDocument/2006/relationships/image" Target="../media/image51.emf" /><Relationship Id="rId50" Type="http://schemas.openxmlformats.org/officeDocument/2006/relationships/image" Target="../media/image52.emf" /><Relationship Id="rId51" Type="http://schemas.openxmlformats.org/officeDocument/2006/relationships/image" Target="../media/image53.emf" /><Relationship Id="rId52" Type="http://schemas.openxmlformats.org/officeDocument/2006/relationships/image" Target="../media/image54.emf" /><Relationship Id="rId53" Type="http://schemas.openxmlformats.org/officeDocument/2006/relationships/image" Target="../media/image55.emf" /><Relationship Id="rId54" Type="http://schemas.openxmlformats.org/officeDocument/2006/relationships/image" Target="../media/image10.emf" /><Relationship Id="rId55" Type="http://schemas.openxmlformats.org/officeDocument/2006/relationships/image" Target="../media/image25.emf" /><Relationship Id="rId56" Type="http://schemas.openxmlformats.org/officeDocument/2006/relationships/image" Target="../media/image28.emf" /><Relationship Id="rId57" Type="http://schemas.openxmlformats.org/officeDocument/2006/relationships/image" Target="../media/image56.emf" /><Relationship Id="rId58" Type="http://schemas.openxmlformats.org/officeDocument/2006/relationships/image" Target="../media/image57.emf" /><Relationship Id="rId59" Type="http://schemas.openxmlformats.org/officeDocument/2006/relationships/image" Target="../media/image58.emf" /><Relationship Id="rId60" Type="http://schemas.openxmlformats.org/officeDocument/2006/relationships/image" Target="../media/image29.emf" /><Relationship Id="rId61" Type="http://schemas.openxmlformats.org/officeDocument/2006/relationships/image" Target="../media/image59.emf" /><Relationship Id="rId62" Type="http://schemas.openxmlformats.org/officeDocument/2006/relationships/image" Target="../media/image60.emf" /><Relationship Id="rId63" Type="http://schemas.openxmlformats.org/officeDocument/2006/relationships/image" Target="../media/image30.emf" /><Relationship Id="rId64" Type="http://schemas.openxmlformats.org/officeDocument/2006/relationships/image" Target="../media/image61.emf" /><Relationship Id="rId65" Type="http://schemas.openxmlformats.org/officeDocument/2006/relationships/image" Target="../media/image62.emf" /><Relationship Id="rId66" Type="http://schemas.openxmlformats.org/officeDocument/2006/relationships/image" Target="../media/image63.emf" /><Relationship Id="rId67" Type="http://schemas.openxmlformats.org/officeDocument/2006/relationships/image" Target="../media/image31.emf" /><Relationship Id="rId68" Type="http://schemas.openxmlformats.org/officeDocument/2006/relationships/image" Target="../media/image64.emf" /><Relationship Id="rId69" Type="http://schemas.openxmlformats.org/officeDocument/2006/relationships/image" Target="../media/image65.emf" /><Relationship Id="rId70" Type="http://schemas.openxmlformats.org/officeDocument/2006/relationships/image" Target="../media/image66.emf" /><Relationship Id="rId71" Type="http://schemas.openxmlformats.org/officeDocument/2006/relationships/image" Target="../media/image67.emf" /><Relationship Id="rId72" Type="http://schemas.openxmlformats.org/officeDocument/2006/relationships/image" Target="../media/image68.emf" /><Relationship Id="rId73" Type="http://schemas.openxmlformats.org/officeDocument/2006/relationships/image" Target="../media/image69.emf" /><Relationship Id="rId74" Type="http://schemas.openxmlformats.org/officeDocument/2006/relationships/image" Target="../media/image70.emf" /><Relationship Id="rId75" Type="http://schemas.openxmlformats.org/officeDocument/2006/relationships/image" Target="../media/image71.emf" /><Relationship Id="rId76" Type="http://schemas.openxmlformats.org/officeDocument/2006/relationships/image" Target="../media/image35.emf" /><Relationship Id="rId77" Type="http://schemas.openxmlformats.org/officeDocument/2006/relationships/image" Target="../media/image72.emf" /><Relationship Id="rId78" Type="http://schemas.openxmlformats.org/officeDocument/2006/relationships/image" Target="../media/image73.emf" /><Relationship Id="rId79" Type="http://schemas.openxmlformats.org/officeDocument/2006/relationships/image" Target="../media/image74.emf" /><Relationship Id="rId80" Type="http://schemas.openxmlformats.org/officeDocument/2006/relationships/image" Target="../media/image75.emf" /><Relationship Id="rId81" Type="http://schemas.openxmlformats.org/officeDocument/2006/relationships/image" Target="../media/image76.emf" /><Relationship Id="rId82" Type="http://schemas.openxmlformats.org/officeDocument/2006/relationships/image" Target="../media/image77.emf" /><Relationship Id="rId83" Type="http://schemas.openxmlformats.org/officeDocument/2006/relationships/image" Target="../media/image78.emf" /><Relationship Id="rId84" Type="http://schemas.openxmlformats.org/officeDocument/2006/relationships/image" Target="../media/image79.emf" /><Relationship Id="rId85" Type="http://schemas.openxmlformats.org/officeDocument/2006/relationships/image" Target="../media/image81.emf" /><Relationship Id="rId86" Type="http://schemas.openxmlformats.org/officeDocument/2006/relationships/image" Target="../media/image80.emf" /><Relationship Id="rId87" Type="http://schemas.openxmlformats.org/officeDocument/2006/relationships/image" Target="../media/image36.emf" /><Relationship Id="rId88" Type="http://schemas.openxmlformats.org/officeDocument/2006/relationships/image" Target="../media/image82.emf" /><Relationship Id="rId89" Type="http://schemas.openxmlformats.org/officeDocument/2006/relationships/image" Target="../media/image83.emf" /><Relationship Id="rId90" Type="http://schemas.openxmlformats.org/officeDocument/2006/relationships/image" Target="../media/image87.emf" /><Relationship Id="rId9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342900</xdr:colOff>
      <xdr:row>38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0610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</xdr:row>
      <xdr:rowOff>47625</xdr:rowOff>
    </xdr:from>
    <xdr:to>
      <xdr:col>14</xdr:col>
      <xdr:colOff>238125</xdr:colOff>
      <xdr:row>8</xdr:row>
      <xdr:rowOff>28575</xdr:rowOff>
    </xdr:to>
    <xdr:sp>
      <xdr:nvSpPr>
        <xdr:cNvPr id="2" name="AutoShape 1"/>
        <xdr:cNvSpPr>
          <a:spLocks/>
        </xdr:cNvSpPr>
      </xdr:nvSpPr>
      <xdr:spPr>
        <a:xfrm>
          <a:off x="400050" y="209550"/>
          <a:ext cx="8372475" cy="1114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Cálculos de Tipo de Fornecimento</a:t>
          </a:r>
        </a:p>
      </xdr:txBody>
    </xdr:sp>
    <xdr:clientData/>
  </xdr:twoCellAnchor>
  <xdr:twoCellAnchor>
    <xdr:from>
      <xdr:col>13</xdr:col>
      <xdr:colOff>85725</xdr:colOff>
      <xdr:row>29</xdr:row>
      <xdr:rowOff>95250</xdr:rowOff>
    </xdr:from>
    <xdr:to>
      <xdr:col>17</xdr:col>
      <xdr:colOff>180975</xdr:colOff>
      <xdr:row>37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010525" y="4791075"/>
          <a:ext cx="25336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Cálculo de Tipo de Fornecimento
CopyRigth 2005-2007
Versão 3.02
Ederson Madruga - CREA/RS 96.167TD
madruga@certaja.com.br</a:t>
          </a:r>
        </a:p>
      </xdr:txBody>
    </xdr:sp>
    <xdr:clientData/>
  </xdr:twoCellAnchor>
  <xdr:twoCellAnchor>
    <xdr:from>
      <xdr:col>10</xdr:col>
      <xdr:colOff>180975</xdr:colOff>
      <xdr:row>7</xdr:row>
      <xdr:rowOff>85725</xdr:rowOff>
    </xdr:from>
    <xdr:to>
      <xdr:col>14</xdr:col>
      <xdr:colOff>171450</xdr:colOff>
      <xdr:row>9</xdr:row>
      <xdr:rowOff>19050</xdr:rowOff>
    </xdr:to>
    <xdr:sp>
      <xdr:nvSpPr>
        <xdr:cNvPr id="4" name="AutoShape 10"/>
        <xdr:cNvSpPr>
          <a:spLocks/>
        </xdr:cNvSpPr>
      </xdr:nvSpPr>
      <xdr:spPr>
        <a:xfrm>
          <a:off x="6276975" y="1219200"/>
          <a:ext cx="24288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RIC MT e BT</a:t>
          </a:r>
        </a:p>
      </xdr:txBody>
    </xdr:sp>
    <xdr:clientData/>
  </xdr:twoCellAnchor>
  <xdr:oneCellAnchor>
    <xdr:from>
      <xdr:col>5</xdr:col>
      <xdr:colOff>114300</xdr:colOff>
      <xdr:row>33</xdr:row>
      <xdr:rowOff>38100</xdr:rowOff>
    </xdr:from>
    <xdr:ext cx="85725" cy="219075"/>
    <xdr:sp>
      <xdr:nvSpPr>
        <xdr:cNvPr id="5" name="TextBox 12"/>
        <xdr:cNvSpPr txBox="1">
          <a:spLocks noChangeArrowheads="1"/>
        </xdr:cNvSpPr>
      </xdr:nvSpPr>
      <xdr:spPr>
        <a:xfrm>
          <a:off x="3162300" y="538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9525</xdr:rowOff>
    </xdr:from>
    <xdr:to>
      <xdr:col>9</xdr:col>
      <xdr:colOff>76200</xdr:colOff>
      <xdr:row>5</xdr:row>
      <xdr:rowOff>238125</xdr:rowOff>
    </xdr:to>
    <xdr:pic>
      <xdr:nvPicPr>
        <xdr:cNvPr id="1" name="Ativida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619250"/>
          <a:ext cx="3914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9525</xdr:rowOff>
    </xdr:from>
    <xdr:to>
      <xdr:col>9</xdr:col>
      <xdr:colOff>76200</xdr:colOff>
      <xdr:row>7</xdr:row>
      <xdr:rowOff>28575</xdr:rowOff>
    </xdr:to>
    <xdr:pic>
      <xdr:nvPicPr>
        <xdr:cNvPr id="2" name="Fornec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866900"/>
          <a:ext cx="3914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</xdr:row>
      <xdr:rowOff>152400</xdr:rowOff>
    </xdr:from>
    <xdr:to>
      <xdr:col>10</xdr:col>
      <xdr:colOff>514350</xdr:colOff>
      <xdr:row>3</xdr:row>
      <xdr:rowOff>19050</xdr:rowOff>
    </xdr:to>
    <xdr:pic>
      <xdr:nvPicPr>
        <xdr:cNvPr id="3" name="CALCU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79057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95250</xdr:rowOff>
    </xdr:from>
    <xdr:to>
      <xdr:col>9</xdr:col>
      <xdr:colOff>28575</xdr:colOff>
      <xdr:row>9</xdr:row>
      <xdr:rowOff>19050</xdr:rowOff>
    </xdr:to>
    <xdr:pic>
      <xdr:nvPicPr>
        <xdr:cNvPr id="4" name="Fator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200275"/>
          <a:ext cx="386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5</xdr:row>
      <xdr:rowOff>104775</xdr:rowOff>
    </xdr:from>
    <xdr:to>
      <xdr:col>10</xdr:col>
      <xdr:colOff>552450</xdr:colOff>
      <xdr:row>6</xdr:row>
      <xdr:rowOff>161925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34175" y="17145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5</xdr:row>
      <xdr:rowOff>85725</xdr:rowOff>
    </xdr:from>
    <xdr:to>
      <xdr:col>12</xdr:col>
      <xdr:colOff>619125</xdr:colOff>
      <xdr:row>6</xdr:row>
      <xdr:rowOff>142875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9125" y="169545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2</xdr:row>
      <xdr:rowOff>0</xdr:rowOff>
    </xdr:from>
    <xdr:to>
      <xdr:col>13</xdr:col>
      <xdr:colOff>0</xdr:colOff>
      <xdr:row>3</xdr:row>
      <xdr:rowOff>38100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48650" y="8096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4</xdr:row>
      <xdr:rowOff>0</xdr:rowOff>
    </xdr:from>
    <xdr:to>
      <xdr:col>13</xdr:col>
      <xdr:colOff>0</xdr:colOff>
      <xdr:row>5</xdr:row>
      <xdr:rowOff>38100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8650" y="13430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66675</xdr:rowOff>
    </xdr:from>
    <xdr:to>
      <xdr:col>0</xdr:col>
      <xdr:colOff>428625</xdr:colOff>
      <xdr:row>0</xdr:row>
      <xdr:rowOff>590550</xdr:rowOff>
    </xdr:to>
    <xdr:grpSp>
      <xdr:nvGrpSpPr>
        <xdr:cNvPr id="9" name="Group 14"/>
        <xdr:cNvGrpSpPr>
          <a:grpSpLocks noChangeAspect="1"/>
        </xdr:cNvGrpSpPr>
      </xdr:nvGrpSpPr>
      <xdr:grpSpPr>
        <a:xfrm>
          <a:off x="104775" y="66675"/>
          <a:ext cx="323850" cy="523875"/>
          <a:chOff x="30" y="7"/>
          <a:chExt cx="24" cy="38"/>
        </a:xfrm>
        <a:solidFill>
          <a:srgbClr val="FFFFFF"/>
        </a:solidFill>
      </xdr:grpSpPr>
      <xdr:pic>
        <xdr:nvPicPr>
          <xdr:cNvPr id="10" name="TextBox1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0" y="19"/>
            <a:ext cx="8" cy="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6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0" y="7"/>
            <a:ext cx="24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10</xdr:row>
      <xdr:rowOff>19050</xdr:rowOff>
    </xdr:from>
    <xdr:to>
      <xdr:col>12</xdr:col>
      <xdr:colOff>266700</xdr:colOff>
      <xdr:row>10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621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10</xdr:row>
      <xdr:rowOff>19050</xdr:rowOff>
    </xdr:from>
    <xdr:to>
      <xdr:col>13</xdr:col>
      <xdr:colOff>266700</xdr:colOff>
      <xdr:row>10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7621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11</xdr:row>
      <xdr:rowOff>19050</xdr:rowOff>
    </xdr:from>
    <xdr:to>
      <xdr:col>12</xdr:col>
      <xdr:colOff>266700</xdr:colOff>
      <xdr:row>11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19240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11</xdr:row>
      <xdr:rowOff>19050</xdr:rowOff>
    </xdr:from>
    <xdr:to>
      <xdr:col>13</xdr:col>
      <xdr:colOff>266700</xdr:colOff>
      <xdr:row>11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19240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19050</xdr:rowOff>
    </xdr:from>
    <xdr:to>
      <xdr:col>12</xdr:col>
      <xdr:colOff>266700</xdr:colOff>
      <xdr:row>12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2085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12</xdr:row>
      <xdr:rowOff>19050</xdr:rowOff>
    </xdr:from>
    <xdr:to>
      <xdr:col>13</xdr:col>
      <xdr:colOff>266700</xdr:colOff>
      <xdr:row>12</xdr:row>
      <xdr:rowOff>152400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2085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13</xdr:row>
      <xdr:rowOff>19050</xdr:rowOff>
    </xdr:from>
    <xdr:to>
      <xdr:col>12</xdr:col>
      <xdr:colOff>266700</xdr:colOff>
      <xdr:row>13</xdr:row>
      <xdr:rowOff>152400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22479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19050</xdr:rowOff>
    </xdr:from>
    <xdr:to>
      <xdr:col>12</xdr:col>
      <xdr:colOff>266700</xdr:colOff>
      <xdr:row>14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24098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15</xdr:row>
      <xdr:rowOff>19050</xdr:rowOff>
    </xdr:from>
    <xdr:to>
      <xdr:col>12</xdr:col>
      <xdr:colOff>266700</xdr:colOff>
      <xdr:row>15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25717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16</xdr:row>
      <xdr:rowOff>19050</xdr:rowOff>
    </xdr:from>
    <xdr:to>
      <xdr:col>12</xdr:col>
      <xdr:colOff>266700</xdr:colOff>
      <xdr:row>16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0150" y="2733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17</xdr:row>
      <xdr:rowOff>19050</xdr:rowOff>
    </xdr:from>
    <xdr:to>
      <xdr:col>12</xdr:col>
      <xdr:colOff>266700</xdr:colOff>
      <xdr:row>17</xdr:row>
      <xdr:rowOff>152400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8956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19050</xdr:rowOff>
    </xdr:from>
    <xdr:to>
      <xdr:col>12</xdr:col>
      <xdr:colOff>266700</xdr:colOff>
      <xdr:row>18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10150" y="30575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19</xdr:row>
      <xdr:rowOff>19050</xdr:rowOff>
    </xdr:from>
    <xdr:to>
      <xdr:col>12</xdr:col>
      <xdr:colOff>266700</xdr:colOff>
      <xdr:row>19</xdr:row>
      <xdr:rowOff>152400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10150" y="3219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20</xdr:row>
      <xdr:rowOff>19050</xdr:rowOff>
    </xdr:from>
    <xdr:to>
      <xdr:col>12</xdr:col>
      <xdr:colOff>266700</xdr:colOff>
      <xdr:row>20</xdr:row>
      <xdr:rowOff>152400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10150" y="33813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21</xdr:row>
      <xdr:rowOff>19050</xdr:rowOff>
    </xdr:from>
    <xdr:to>
      <xdr:col>12</xdr:col>
      <xdr:colOff>266700</xdr:colOff>
      <xdr:row>21</xdr:row>
      <xdr:rowOff>152400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10150" y="35433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22</xdr:row>
      <xdr:rowOff>19050</xdr:rowOff>
    </xdr:from>
    <xdr:to>
      <xdr:col>12</xdr:col>
      <xdr:colOff>266700</xdr:colOff>
      <xdr:row>22</xdr:row>
      <xdr:rowOff>152400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10150" y="37052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23</xdr:row>
      <xdr:rowOff>19050</xdr:rowOff>
    </xdr:from>
    <xdr:to>
      <xdr:col>12</xdr:col>
      <xdr:colOff>266700</xdr:colOff>
      <xdr:row>23</xdr:row>
      <xdr:rowOff>152400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10150" y="38671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24</xdr:row>
      <xdr:rowOff>19050</xdr:rowOff>
    </xdr:from>
    <xdr:to>
      <xdr:col>12</xdr:col>
      <xdr:colOff>266700</xdr:colOff>
      <xdr:row>24</xdr:row>
      <xdr:rowOff>152400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10150" y="40290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25</xdr:row>
      <xdr:rowOff>19050</xdr:rowOff>
    </xdr:from>
    <xdr:to>
      <xdr:col>12</xdr:col>
      <xdr:colOff>266700</xdr:colOff>
      <xdr:row>25</xdr:row>
      <xdr:rowOff>152400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10150" y="41910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26</xdr:row>
      <xdr:rowOff>19050</xdr:rowOff>
    </xdr:from>
    <xdr:to>
      <xdr:col>12</xdr:col>
      <xdr:colOff>266700</xdr:colOff>
      <xdr:row>26</xdr:row>
      <xdr:rowOff>152400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10150" y="43529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27</xdr:row>
      <xdr:rowOff>19050</xdr:rowOff>
    </xdr:from>
    <xdr:to>
      <xdr:col>12</xdr:col>
      <xdr:colOff>266700</xdr:colOff>
      <xdr:row>27</xdr:row>
      <xdr:rowOff>152400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10150" y="45148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28</xdr:row>
      <xdr:rowOff>19050</xdr:rowOff>
    </xdr:from>
    <xdr:to>
      <xdr:col>12</xdr:col>
      <xdr:colOff>266700</xdr:colOff>
      <xdr:row>28</xdr:row>
      <xdr:rowOff>152400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10150" y="4676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29</xdr:row>
      <xdr:rowOff>19050</xdr:rowOff>
    </xdr:from>
    <xdr:to>
      <xdr:col>12</xdr:col>
      <xdr:colOff>266700</xdr:colOff>
      <xdr:row>29</xdr:row>
      <xdr:rowOff>152400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10150" y="48387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30</xdr:row>
      <xdr:rowOff>19050</xdr:rowOff>
    </xdr:from>
    <xdr:to>
      <xdr:col>12</xdr:col>
      <xdr:colOff>266700</xdr:colOff>
      <xdr:row>30</xdr:row>
      <xdr:rowOff>152400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10150" y="5000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31</xdr:row>
      <xdr:rowOff>19050</xdr:rowOff>
    </xdr:from>
    <xdr:to>
      <xdr:col>12</xdr:col>
      <xdr:colOff>266700</xdr:colOff>
      <xdr:row>31</xdr:row>
      <xdr:rowOff>152400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10150" y="51625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32</xdr:row>
      <xdr:rowOff>19050</xdr:rowOff>
    </xdr:from>
    <xdr:to>
      <xdr:col>12</xdr:col>
      <xdr:colOff>266700</xdr:colOff>
      <xdr:row>32</xdr:row>
      <xdr:rowOff>152400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10150" y="53244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33</xdr:row>
      <xdr:rowOff>19050</xdr:rowOff>
    </xdr:from>
    <xdr:to>
      <xdr:col>12</xdr:col>
      <xdr:colOff>266700</xdr:colOff>
      <xdr:row>33</xdr:row>
      <xdr:rowOff>152400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10150" y="54864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34</xdr:row>
      <xdr:rowOff>19050</xdr:rowOff>
    </xdr:from>
    <xdr:to>
      <xdr:col>12</xdr:col>
      <xdr:colOff>266700</xdr:colOff>
      <xdr:row>34</xdr:row>
      <xdr:rowOff>152400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10150" y="56483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35</xdr:row>
      <xdr:rowOff>19050</xdr:rowOff>
    </xdr:from>
    <xdr:to>
      <xdr:col>12</xdr:col>
      <xdr:colOff>266700</xdr:colOff>
      <xdr:row>35</xdr:row>
      <xdr:rowOff>152400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10150" y="58102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36</xdr:row>
      <xdr:rowOff>19050</xdr:rowOff>
    </xdr:from>
    <xdr:to>
      <xdr:col>12</xdr:col>
      <xdr:colOff>266700</xdr:colOff>
      <xdr:row>36</xdr:row>
      <xdr:rowOff>152400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10150" y="59721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37</xdr:row>
      <xdr:rowOff>19050</xdr:rowOff>
    </xdr:from>
    <xdr:to>
      <xdr:col>12</xdr:col>
      <xdr:colOff>266700</xdr:colOff>
      <xdr:row>37</xdr:row>
      <xdr:rowOff>152400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10150" y="6134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38</xdr:row>
      <xdr:rowOff>0</xdr:rowOff>
    </xdr:from>
    <xdr:to>
      <xdr:col>12</xdr:col>
      <xdr:colOff>266700</xdr:colOff>
      <xdr:row>38</xdr:row>
      <xdr:rowOff>133350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10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38</xdr:row>
      <xdr:rowOff>0</xdr:rowOff>
    </xdr:from>
    <xdr:to>
      <xdr:col>12</xdr:col>
      <xdr:colOff>266700</xdr:colOff>
      <xdr:row>38</xdr:row>
      <xdr:rowOff>133350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10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38</xdr:row>
      <xdr:rowOff>0</xdr:rowOff>
    </xdr:from>
    <xdr:to>
      <xdr:col>12</xdr:col>
      <xdr:colOff>266700</xdr:colOff>
      <xdr:row>38</xdr:row>
      <xdr:rowOff>133350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10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38</xdr:row>
      <xdr:rowOff>0</xdr:rowOff>
    </xdr:from>
    <xdr:to>
      <xdr:col>12</xdr:col>
      <xdr:colOff>266700</xdr:colOff>
      <xdr:row>38</xdr:row>
      <xdr:rowOff>133350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10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38</xdr:row>
      <xdr:rowOff>19050</xdr:rowOff>
    </xdr:from>
    <xdr:to>
      <xdr:col>12</xdr:col>
      <xdr:colOff>266700</xdr:colOff>
      <xdr:row>38</xdr:row>
      <xdr:rowOff>152400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10150" y="62960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13</xdr:row>
      <xdr:rowOff>19050</xdr:rowOff>
    </xdr:from>
    <xdr:to>
      <xdr:col>13</xdr:col>
      <xdr:colOff>266700</xdr:colOff>
      <xdr:row>13</xdr:row>
      <xdr:rowOff>152400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391150" y="22479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14</xdr:row>
      <xdr:rowOff>19050</xdr:rowOff>
    </xdr:from>
    <xdr:to>
      <xdr:col>13</xdr:col>
      <xdr:colOff>266700</xdr:colOff>
      <xdr:row>14</xdr:row>
      <xdr:rowOff>152400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391150" y="24098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15</xdr:row>
      <xdr:rowOff>19050</xdr:rowOff>
    </xdr:from>
    <xdr:to>
      <xdr:col>13</xdr:col>
      <xdr:colOff>266700</xdr:colOff>
      <xdr:row>15</xdr:row>
      <xdr:rowOff>152400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91150" y="25717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16</xdr:row>
      <xdr:rowOff>19050</xdr:rowOff>
    </xdr:from>
    <xdr:to>
      <xdr:col>13</xdr:col>
      <xdr:colOff>266700</xdr:colOff>
      <xdr:row>16</xdr:row>
      <xdr:rowOff>152400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391150" y="27336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17</xdr:row>
      <xdr:rowOff>19050</xdr:rowOff>
    </xdr:from>
    <xdr:to>
      <xdr:col>13</xdr:col>
      <xdr:colOff>266700</xdr:colOff>
      <xdr:row>17</xdr:row>
      <xdr:rowOff>152400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391150" y="28956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18</xdr:row>
      <xdr:rowOff>19050</xdr:rowOff>
    </xdr:from>
    <xdr:to>
      <xdr:col>13</xdr:col>
      <xdr:colOff>266700</xdr:colOff>
      <xdr:row>18</xdr:row>
      <xdr:rowOff>152400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391150" y="30575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19</xdr:row>
      <xdr:rowOff>19050</xdr:rowOff>
    </xdr:from>
    <xdr:to>
      <xdr:col>13</xdr:col>
      <xdr:colOff>266700</xdr:colOff>
      <xdr:row>19</xdr:row>
      <xdr:rowOff>152400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391150" y="3219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20</xdr:row>
      <xdr:rowOff>19050</xdr:rowOff>
    </xdr:from>
    <xdr:to>
      <xdr:col>13</xdr:col>
      <xdr:colOff>266700</xdr:colOff>
      <xdr:row>20</xdr:row>
      <xdr:rowOff>152400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391150" y="33813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21</xdr:row>
      <xdr:rowOff>19050</xdr:rowOff>
    </xdr:from>
    <xdr:to>
      <xdr:col>13</xdr:col>
      <xdr:colOff>266700</xdr:colOff>
      <xdr:row>21</xdr:row>
      <xdr:rowOff>152400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391150" y="35433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22</xdr:row>
      <xdr:rowOff>19050</xdr:rowOff>
    </xdr:from>
    <xdr:to>
      <xdr:col>13</xdr:col>
      <xdr:colOff>266700</xdr:colOff>
      <xdr:row>22</xdr:row>
      <xdr:rowOff>152400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391150" y="37052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23</xdr:row>
      <xdr:rowOff>19050</xdr:rowOff>
    </xdr:from>
    <xdr:to>
      <xdr:col>13</xdr:col>
      <xdr:colOff>266700</xdr:colOff>
      <xdr:row>23</xdr:row>
      <xdr:rowOff>152400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391150" y="38671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24</xdr:row>
      <xdr:rowOff>19050</xdr:rowOff>
    </xdr:from>
    <xdr:to>
      <xdr:col>13</xdr:col>
      <xdr:colOff>266700</xdr:colOff>
      <xdr:row>24</xdr:row>
      <xdr:rowOff>152400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391150" y="40290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25</xdr:row>
      <xdr:rowOff>19050</xdr:rowOff>
    </xdr:from>
    <xdr:to>
      <xdr:col>13</xdr:col>
      <xdr:colOff>266700</xdr:colOff>
      <xdr:row>25</xdr:row>
      <xdr:rowOff>152400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391150" y="41910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26</xdr:row>
      <xdr:rowOff>19050</xdr:rowOff>
    </xdr:from>
    <xdr:to>
      <xdr:col>13</xdr:col>
      <xdr:colOff>266700</xdr:colOff>
      <xdr:row>26</xdr:row>
      <xdr:rowOff>152400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391150" y="43529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27</xdr:row>
      <xdr:rowOff>19050</xdr:rowOff>
    </xdr:from>
    <xdr:to>
      <xdr:col>13</xdr:col>
      <xdr:colOff>266700</xdr:colOff>
      <xdr:row>27</xdr:row>
      <xdr:rowOff>152400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391150" y="45148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28</xdr:row>
      <xdr:rowOff>19050</xdr:rowOff>
    </xdr:from>
    <xdr:to>
      <xdr:col>13</xdr:col>
      <xdr:colOff>266700</xdr:colOff>
      <xdr:row>28</xdr:row>
      <xdr:rowOff>152400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391150" y="46767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29</xdr:row>
      <xdr:rowOff>19050</xdr:rowOff>
    </xdr:from>
    <xdr:to>
      <xdr:col>13</xdr:col>
      <xdr:colOff>266700</xdr:colOff>
      <xdr:row>29</xdr:row>
      <xdr:rowOff>152400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391150" y="48387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30</xdr:row>
      <xdr:rowOff>19050</xdr:rowOff>
    </xdr:from>
    <xdr:to>
      <xdr:col>13</xdr:col>
      <xdr:colOff>266700</xdr:colOff>
      <xdr:row>30</xdr:row>
      <xdr:rowOff>152400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391150" y="5000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31</xdr:row>
      <xdr:rowOff>19050</xdr:rowOff>
    </xdr:from>
    <xdr:to>
      <xdr:col>13</xdr:col>
      <xdr:colOff>266700</xdr:colOff>
      <xdr:row>31</xdr:row>
      <xdr:rowOff>152400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391150" y="51625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32</xdr:row>
      <xdr:rowOff>19050</xdr:rowOff>
    </xdr:from>
    <xdr:to>
      <xdr:col>13</xdr:col>
      <xdr:colOff>266700</xdr:colOff>
      <xdr:row>32</xdr:row>
      <xdr:rowOff>152400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391150" y="53244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33</xdr:row>
      <xdr:rowOff>19050</xdr:rowOff>
    </xdr:from>
    <xdr:to>
      <xdr:col>13</xdr:col>
      <xdr:colOff>266700</xdr:colOff>
      <xdr:row>33</xdr:row>
      <xdr:rowOff>152400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391150" y="54864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34</xdr:row>
      <xdr:rowOff>19050</xdr:rowOff>
    </xdr:from>
    <xdr:to>
      <xdr:col>13</xdr:col>
      <xdr:colOff>266700</xdr:colOff>
      <xdr:row>34</xdr:row>
      <xdr:rowOff>152400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391150" y="56483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35</xdr:row>
      <xdr:rowOff>19050</xdr:rowOff>
    </xdr:from>
    <xdr:to>
      <xdr:col>13</xdr:col>
      <xdr:colOff>266700</xdr:colOff>
      <xdr:row>35</xdr:row>
      <xdr:rowOff>152400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391150" y="58102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36</xdr:row>
      <xdr:rowOff>19050</xdr:rowOff>
    </xdr:from>
    <xdr:to>
      <xdr:col>13</xdr:col>
      <xdr:colOff>266700</xdr:colOff>
      <xdr:row>36</xdr:row>
      <xdr:rowOff>152400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391150" y="59721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37</xdr:row>
      <xdr:rowOff>19050</xdr:rowOff>
    </xdr:from>
    <xdr:to>
      <xdr:col>13</xdr:col>
      <xdr:colOff>266700</xdr:colOff>
      <xdr:row>37</xdr:row>
      <xdr:rowOff>152400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391150" y="61341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38</xdr:row>
      <xdr:rowOff>0</xdr:rowOff>
    </xdr:from>
    <xdr:to>
      <xdr:col>13</xdr:col>
      <xdr:colOff>266700</xdr:colOff>
      <xdr:row>38</xdr:row>
      <xdr:rowOff>133350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391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38</xdr:row>
      <xdr:rowOff>0</xdr:rowOff>
    </xdr:from>
    <xdr:to>
      <xdr:col>13</xdr:col>
      <xdr:colOff>266700</xdr:colOff>
      <xdr:row>38</xdr:row>
      <xdr:rowOff>133350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391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38</xdr:row>
      <xdr:rowOff>0</xdr:rowOff>
    </xdr:from>
    <xdr:to>
      <xdr:col>13</xdr:col>
      <xdr:colOff>266700</xdr:colOff>
      <xdr:row>38</xdr:row>
      <xdr:rowOff>133350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391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38</xdr:row>
      <xdr:rowOff>0</xdr:rowOff>
    </xdr:from>
    <xdr:to>
      <xdr:col>13</xdr:col>
      <xdr:colOff>266700</xdr:colOff>
      <xdr:row>38</xdr:row>
      <xdr:rowOff>133350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391150" y="62769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38</xdr:row>
      <xdr:rowOff>19050</xdr:rowOff>
    </xdr:from>
    <xdr:to>
      <xdr:col>13</xdr:col>
      <xdr:colOff>266700</xdr:colOff>
      <xdr:row>38</xdr:row>
      <xdr:rowOff>152400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391150" y="62960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43</xdr:row>
      <xdr:rowOff>19050</xdr:rowOff>
    </xdr:from>
    <xdr:to>
      <xdr:col>12</xdr:col>
      <xdr:colOff>266700</xdr:colOff>
      <xdr:row>43</xdr:row>
      <xdr:rowOff>152400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10150" y="72199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123825</xdr:colOff>
      <xdr:row>43</xdr:row>
      <xdr:rowOff>19050</xdr:rowOff>
    </xdr:from>
    <xdr:to>
      <xdr:col>13</xdr:col>
      <xdr:colOff>266700</xdr:colOff>
      <xdr:row>43</xdr:row>
      <xdr:rowOff>152400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391150" y="72199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44</xdr:row>
      <xdr:rowOff>19050</xdr:rowOff>
    </xdr:from>
    <xdr:to>
      <xdr:col>12</xdr:col>
      <xdr:colOff>266700</xdr:colOff>
      <xdr:row>44</xdr:row>
      <xdr:rowOff>152400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10150" y="73818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44</xdr:row>
      <xdr:rowOff>19050</xdr:rowOff>
    </xdr:from>
    <xdr:to>
      <xdr:col>13</xdr:col>
      <xdr:colOff>266700</xdr:colOff>
      <xdr:row>44</xdr:row>
      <xdr:rowOff>152400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391150" y="73818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45</xdr:row>
      <xdr:rowOff>19050</xdr:rowOff>
    </xdr:from>
    <xdr:to>
      <xdr:col>12</xdr:col>
      <xdr:colOff>266700</xdr:colOff>
      <xdr:row>45</xdr:row>
      <xdr:rowOff>152400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10150" y="75438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45</xdr:row>
      <xdr:rowOff>19050</xdr:rowOff>
    </xdr:from>
    <xdr:to>
      <xdr:col>13</xdr:col>
      <xdr:colOff>266700</xdr:colOff>
      <xdr:row>45</xdr:row>
      <xdr:rowOff>152400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391150" y="75438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46</xdr:row>
      <xdr:rowOff>19050</xdr:rowOff>
    </xdr:from>
    <xdr:to>
      <xdr:col>12</xdr:col>
      <xdr:colOff>266700</xdr:colOff>
      <xdr:row>46</xdr:row>
      <xdr:rowOff>152400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10150" y="77057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46</xdr:row>
      <xdr:rowOff>19050</xdr:rowOff>
    </xdr:from>
    <xdr:to>
      <xdr:col>13</xdr:col>
      <xdr:colOff>266700</xdr:colOff>
      <xdr:row>46</xdr:row>
      <xdr:rowOff>152400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391150" y="77057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47</xdr:row>
      <xdr:rowOff>19050</xdr:rowOff>
    </xdr:from>
    <xdr:to>
      <xdr:col>12</xdr:col>
      <xdr:colOff>266700</xdr:colOff>
      <xdr:row>47</xdr:row>
      <xdr:rowOff>152400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10150" y="78676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47</xdr:row>
      <xdr:rowOff>19050</xdr:rowOff>
    </xdr:from>
    <xdr:to>
      <xdr:col>13</xdr:col>
      <xdr:colOff>266700</xdr:colOff>
      <xdr:row>47</xdr:row>
      <xdr:rowOff>152400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391150" y="78676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48</xdr:row>
      <xdr:rowOff>19050</xdr:rowOff>
    </xdr:from>
    <xdr:to>
      <xdr:col>12</xdr:col>
      <xdr:colOff>266700</xdr:colOff>
      <xdr:row>48</xdr:row>
      <xdr:rowOff>152400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10150" y="8029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48</xdr:row>
      <xdr:rowOff>19050</xdr:rowOff>
    </xdr:from>
    <xdr:to>
      <xdr:col>13</xdr:col>
      <xdr:colOff>266700</xdr:colOff>
      <xdr:row>48</xdr:row>
      <xdr:rowOff>152400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391150" y="8029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49</xdr:row>
      <xdr:rowOff>19050</xdr:rowOff>
    </xdr:from>
    <xdr:to>
      <xdr:col>12</xdr:col>
      <xdr:colOff>266700</xdr:colOff>
      <xdr:row>49</xdr:row>
      <xdr:rowOff>152400</xdr:rowOff>
    </xdr:to>
    <xdr:pic>
      <xdr:nvPicPr>
        <xdr:cNvPr id="79" name="CheckBox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10150" y="81915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49</xdr:row>
      <xdr:rowOff>19050</xdr:rowOff>
    </xdr:from>
    <xdr:to>
      <xdr:col>13</xdr:col>
      <xdr:colOff>266700</xdr:colOff>
      <xdr:row>49</xdr:row>
      <xdr:rowOff>152400</xdr:rowOff>
    </xdr:to>
    <xdr:pic>
      <xdr:nvPicPr>
        <xdr:cNvPr id="80" name="CheckBox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391150" y="81915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50</xdr:row>
      <xdr:rowOff>19050</xdr:rowOff>
    </xdr:from>
    <xdr:to>
      <xdr:col>12</xdr:col>
      <xdr:colOff>266700</xdr:colOff>
      <xdr:row>50</xdr:row>
      <xdr:rowOff>152400</xdr:rowOff>
    </xdr:to>
    <xdr:pic>
      <xdr:nvPicPr>
        <xdr:cNvPr id="81" name="CheckBox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10150" y="8353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50</xdr:row>
      <xdr:rowOff>19050</xdr:rowOff>
    </xdr:from>
    <xdr:to>
      <xdr:col>13</xdr:col>
      <xdr:colOff>266700</xdr:colOff>
      <xdr:row>50</xdr:row>
      <xdr:rowOff>152400</xdr:rowOff>
    </xdr:to>
    <xdr:pic>
      <xdr:nvPicPr>
        <xdr:cNvPr id="82" name="CheckBox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391150" y="8353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51</xdr:row>
      <xdr:rowOff>19050</xdr:rowOff>
    </xdr:from>
    <xdr:to>
      <xdr:col>12</xdr:col>
      <xdr:colOff>266700</xdr:colOff>
      <xdr:row>51</xdr:row>
      <xdr:rowOff>152400</xdr:rowOff>
    </xdr:to>
    <xdr:pic>
      <xdr:nvPicPr>
        <xdr:cNvPr id="83" name="CheckBox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10150" y="85153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51</xdr:row>
      <xdr:rowOff>19050</xdr:rowOff>
    </xdr:from>
    <xdr:to>
      <xdr:col>13</xdr:col>
      <xdr:colOff>266700</xdr:colOff>
      <xdr:row>51</xdr:row>
      <xdr:rowOff>152400</xdr:rowOff>
    </xdr:to>
    <xdr:pic>
      <xdr:nvPicPr>
        <xdr:cNvPr id="84" name="CheckBox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391150" y="85153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52</xdr:row>
      <xdr:rowOff>19050</xdr:rowOff>
    </xdr:from>
    <xdr:to>
      <xdr:col>12</xdr:col>
      <xdr:colOff>266700</xdr:colOff>
      <xdr:row>52</xdr:row>
      <xdr:rowOff>152400</xdr:rowOff>
    </xdr:to>
    <xdr:pic>
      <xdr:nvPicPr>
        <xdr:cNvPr id="85" name="CheckBox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10150" y="8677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52</xdr:row>
      <xdr:rowOff>19050</xdr:rowOff>
    </xdr:from>
    <xdr:to>
      <xdr:col>13</xdr:col>
      <xdr:colOff>266700</xdr:colOff>
      <xdr:row>52</xdr:row>
      <xdr:rowOff>152400</xdr:rowOff>
    </xdr:to>
    <xdr:pic>
      <xdr:nvPicPr>
        <xdr:cNvPr id="86" name="CheckBox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391150" y="86772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44</xdr:row>
      <xdr:rowOff>19050</xdr:rowOff>
    </xdr:from>
    <xdr:to>
      <xdr:col>12</xdr:col>
      <xdr:colOff>266700</xdr:colOff>
      <xdr:row>44</xdr:row>
      <xdr:rowOff>152400</xdr:rowOff>
    </xdr:to>
    <xdr:pic>
      <xdr:nvPicPr>
        <xdr:cNvPr id="87" name="CheckBox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10150" y="73818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5</xdr:row>
      <xdr:rowOff>19050</xdr:rowOff>
    </xdr:from>
    <xdr:to>
      <xdr:col>15</xdr:col>
      <xdr:colOff>485775</xdr:colOff>
      <xdr:row>6</xdr:row>
      <xdr:rowOff>19050</xdr:rowOff>
    </xdr:to>
    <xdr:pic>
      <xdr:nvPicPr>
        <xdr:cNvPr id="88" name="OptionButton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181725" y="1038225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19050</xdr:rowOff>
    </xdr:from>
    <xdr:to>
      <xdr:col>16</xdr:col>
      <xdr:colOff>466725</xdr:colOff>
      <xdr:row>6</xdr:row>
      <xdr:rowOff>19050</xdr:rowOff>
    </xdr:to>
    <xdr:pic>
      <xdr:nvPicPr>
        <xdr:cNvPr id="89" name="OptionButton2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010400" y="1038225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0</xdr:rowOff>
    </xdr:from>
    <xdr:to>
      <xdr:col>3</xdr:col>
      <xdr:colOff>57150</xdr:colOff>
      <xdr:row>1</xdr:row>
      <xdr:rowOff>114300</xdr:rowOff>
    </xdr:to>
    <xdr:grpSp>
      <xdr:nvGrpSpPr>
        <xdr:cNvPr id="90" name="Group 101"/>
        <xdr:cNvGrpSpPr>
          <a:grpSpLocks noChangeAspect="1"/>
        </xdr:cNvGrpSpPr>
      </xdr:nvGrpSpPr>
      <xdr:grpSpPr>
        <a:xfrm>
          <a:off x="219075" y="47625"/>
          <a:ext cx="133350" cy="114300"/>
          <a:chOff x="30" y="7"/>
          <a:chExt cx="64" cy="38"/>
        </a:xfrm>
        <a:solidFill>
          <a:srgbClr val="FFFFFF"/>
        </a:solidFill>
      </xdr:grpSpPr>
      <xdr:pic>
        <xdr:nvPicPr>
          <xdr:cNvPr id="91" name="TextBox1"/>
          <xdr:cNvPicPr preferRelativeResize="1">
            <a:picLocks noChangeAspect="1"/>
          </xdr:cNvPicPr>
        </xdr:nvPicPr>
        <xdr:blipFill>
          <a:blip r:embed="rId90"/>
          <a:stretch>
            <a:fillRect/>
          </a:stretch>
        </xdr:blipFill>
        <xdr:spPr>
          <a:xfrm>
            <a:off x="39" y="7"/>
            <a:ext cx="55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2" name="Picture 103"/>
          <xdr:cNvPicPr preferRelativeResize="1">
            <a:picLocks noChangeAspect="1"/>
          </xdr:cNvPicPr>
        </xdr:nvPicPr>
        <xdr:blipFill>
          <a:blip r:embed="rId91"/>
          <a:stretch>
            <a:fillRect/>
          </a:stretch>
        </xdr:blipFill>
        <xdr:spPr>
          <a:xfrm>
            <a:off x="30" y="7"/>
            <a:ext cx="24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0</xdr:row>
      <xdr:rowOff>38100</xdr:rowOff>
    </xdr:from>
    <xdr:to>
      <xdr:col>4</xdr:col>
      <xdr:colOff>9525</xdr:colOff>
      <xdr:row>1</xdr:row>
      <xdr:rowOff>514350</xdr:rowOff>
    </xdr:to>
    <xdr:grpSp>
      <xdr:nvGrpSpPr>
        <xdr:cNvPr id="93" name="Group 109"/>
        <xdr:cNvGrpSpPr>
          <a:grpSpLocks noChangeAspect="1"/>
        </xdr:cNvGrpSpPr>
      </xdr:nvGrpSpPr>
      <xdr:grpSpPr>
        <a:xfrm>
          <a:off x="180975" y="38100"/>
          <a:ext cx="323850" cy="523875"/>
          <a:chOff x="30" y="7"/>
          <a:chExt cx="24" cy="38"/>
        </a:xfrm>
        <a:solidFill>
          <a:srgbClr val="FFFFFF"/>
        </a:solidFill>
      </xdr:grpSpPr>
      <xdr:pic>
        <xdr:nvPicPr>
          <xdr:cNvPr id="94" name="TextBox2"/>
          <xdr:cNvPicPr preferRelativeResize="1">
            <a:picLocks noChangeAspect="1"/>
          </xdr:cNvPicPr>
        </xdr:nvPicPr>
        <xdr:blipFill>
          <a:blip r:embed="rId90"/>
          <a:stretch>
            <a:fillRect/>
          </a:stretch>
        </xdr:blipFill>
        <xdr:spPr>
          <a:xfrm>
            <a:off x="40" y="19"/>
            <a:ext cx="8" cy="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5" name="Picture 111"/>
          <xdr:cNvPicPr preferRelativeResize="1">
            <a:picLocks noChangeAspect="1"/>
          </xdr:cNvPicPr>
        </xdr:nvPicPr>
        <xdr:blipFill>
          <a:blip r:embed="rId91"/>
          <a:stretch>
            <a:fillRect/>
          </a:stretch>
        </xdr:blipFill>
        <xdr:spPr>
          <a:xfrm>
            <a:off x="30" y="7"/>
            <a:ext cx="24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38100</xdr:rowOff>
    </xdr:from>
    <xdr:to>
      <xdr:col>14</xdr:col>
      <xdr:colOff>409575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90550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213</xdr:row>
      <xdr:rowOff>47625</xdr:rowOff>
    </xdr:from>
    <xdr:to>
      <xdr:col>14</xdr:col>
      <xdr:colOff>447675</xdr:colOff>
      <xdr:row>235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295275" y="34928175"/>
          <a:ext cx="8686800" cy="479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4800" b="0" i="0" u="none" baseline="0">
              <a:latin typeface="Arial"/>
              <a:ea typeface="Arial"/>
              <a:cs typeface="Arial"/>
            </a:rPr>
            <a:t>Verificando Atualizações ......</a:t>
          </a:r>
          <a:r>
            <a:rPr lang="en-US" cap="none" sz="5000" b="0" i="0" u="none" baseline="0">
              <a:latin typeface="Arial"/>
              <a:ea typeface="Arial"/>
              <a:cs typeface="Arial"/>
            </a:rPr>
            <a:t>
        Aguarde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A1:A1"/>
  <sheetViews>
    <sheetView showGridLines="0" showRowColHeaders="0" tabSelected="1" zoomScale="90" zoomScaleNormal="90" workbookViewId="0" topLeftCell="A1">
      <selection activeCell="A1" sqref="A1"/>
    </sheetView>
  </sheetViews>
  <sheetFormatPr defaultColWidth="9.140625" defaultRowHeight="12.75"/>
  <sheetData/>
  <sheetProtection password="9675" sheet="1" objects="1" scenarios="1"/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GU68"/>
  <sheetViews>
    <sheetView showGridLines="0" zoomScale="80" zoomScaleNormal="80" workbookViewId="0" topLeftCell="A1">
      <selection activeCell="A1" sqref="A1:M1"/>
    </sheetView>
  </sheetViews>
  <sheetFormatPr defaultColWidth="9.140625" defaultRowHeight="12.75" zeroHeight="1"/>
  <cols>
    <col min="1" max="1" width="9.140625" style="14" customWidth="1"/>
    <col min="2" max="2" width="10.7109375" style="14" bestFit="1" customWidth="1"/>
    <col min="3" max="3" width="15.8515625" style="14" customWidth="1"/>
    <col min="4" max="4" width="11.7109375" style="14" customWidth="1"/>
    <col min="5" max="5" width="9.28125" style="14" bestFit="1" customWidth="1"/>
    <col min="6" max="9" width="9.140625" style="14" customWidth="1"/>
    <col min="10" max="10" width="13.00390625" style="14" customWidth="1"/>
    <col min="11" max="11" width="11.7109375" style="14" customWidth="1"/>
    <col min="12" max="12" width="9.8515625" style="14" bestFit="1" customWidth="1"/>
    <col min="13" max="13" width="9.421875" style="14" customWidth="1"/>
    <col min="14" max="16" width="9.140625" style="14" hidden="1" customWidth="1"/>
    <col min="17" max="17" width="13.421875" style="14" hidden="1" customWidth="1"/>
    <col min="18" max="18" width="13.140625" style="14" hidden="1" customWidth="1"/>
    <col min="19" max="19" width="9.140625" style="14" hidden="1" customWidth="1"/>
    <col min="20" max="20" width="16.28125" style="14" hidden="1" customWidth="1"/>
    <col min="21" max="22" width="9.140625" style="14" hidden="1" customWidth="1"/>
    <col min="23" max="23" width="33.421875" style="14" hidden="1" customWidth="1"/>
    <col min="24" max="24" width="32.140625" style="14" hidden="1" customWidth="1"/>
    <col min="25" max="133" width="9.140625" style="14" hidden="1" customWidth="1"/>
    <col min="134" max="193" width="0" style="14" hidden="1" customWidth="1"/>
    <col min="194" max="194" width="9.140625" style="14" customWidth="1"/>
    <col min="195" max="16384" width="0" style="14" hidden="1" customWidth="1"/>
  </cols>
  <sheetData>
    <row r="1" spans="1:13" ht="50.25" customHeight="1">
      <c r="A1" s="233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ht="13.5" thickBot="1">
      <c r="M2" s="17"/>
    </row>
    <row r="3" spans="1:13" ht="21" thickBot="1">
      <c r="A3" s="29" t="s">
        <v>2</v>
      </c>
      <c r="B3" s="27"/>
      <c r="C3" s="27"/>
      <c r="D3" s="234"/>
      <c r="E3" s="235"/>
      <c r="F3" s="235"/>
      <c r="G3" s="235"/>
      <c r="H3" s="235"/>
      <c r="I3" s="236"/>
      <c r="K3" s="17"/>
      <c r="L3" s="17"/>
      <c r="M3" s="80"/>
    </row>
    <row r="4" spans="1:203" ht="21" thickBot="1">
      <c r="A4" s="29" t="s">
        <v>57</v>
      </c>
      <c r="B4" s="27"/>
      <c r="C4" s="27"/>
      <c r="D4" s="234"/>
      <c r="E4" s="235"/>
      <c r="F4" s="236"/>
      <c r="G4" s="29" t="s">
        <v>58</v>
      </c>
      <c r="H4" s="237">
        <v>1</v>
      </c>
      <c r="I4" s="238"/>
      <c r="L4" s="17"/>
      <c r="M4" s="80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</row>
    <row r="5" spans="1:203" ht="21" thickBot="1">
      <c r="A5" s="29" t="s">
        <v>3</v>
      </c>
      <c r="B5" s="27"/>
      <c r="C5" s="27"/>
      <c r="D5" s="44"/>
      <c r="E5" s="16"/>
      <c r="J5" s="17"/>
      <c r="K5" s="17"/>
      <c r="L5" s="17"/>
      <c r="M5" s="80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</row>
    <row r="6" spans="1:203" ht="19.5" customHeight="1">
      <c r="A6" s="29" t="s">
        <v>4</v>
      </c>
      <c r="B6" s="27"/>
      <c r="C6" s="27"/>
      <c r="L6" s="17"/>
      <c r="M6" s="80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</row>
    <row r="7" spans="1:203" ht="19.5" customHeight="1">
      <c r="A7" s="29" t="s">
        <v>56</v>
      </c>
      <c r="B7" s="27"/>
      <c r="C7" s="27"/>
      <c r="L7" s="17"/>
      <c r="M7" s="8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</row>
    <row r="8" spans="1:203" ht="12.75">
      <c r="A8" s="1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</row>
    <row r="9" spans="1:13" ht="12.75">
      <c r="A9" s="15"/>
      <c r="M9" s="17"/>
    </row>
    <row r="10" ht="12.75">
      <c r="M10" s="81"/>
    </row>
    <row r="11" spans="1:26" ht="15.75">
      <c r="A11" s="239" t="s">
        <v>5</v>
      </c>
      <c r="B11" s="240"/>
      <c r="C11" s="240"/>
      <c r="D11" s="30" t="s">
        <v>46</v>
      </c>
      <c r="E11" s="30" t="s">
        <v>6</v>
      </c>
      <c r="F11" s="30" t="s">
        <v>52</v>
      </c>
      <c r="G11" s="240" t="s">
        <v>5</v>
      </c>
      <c r="H11" s="240"/>
      <c r="I11" s="240"/>
      <c r="J11" s="240"/>
      <c r="K11" s="30" t="s">
        <v>46</v>
      </c>
      <c r="L11" s="30" t="s">
        <v>6</v>
      </c>
      <c r="M11" s="31" t="s">
        <v>52</v>
      </c>
      <c r="P11" s="60" t="s">
        <v>100</v>
      </c>
      <c r="Q11" s="61"/>
      <c r="R11" s="61"/>
      <c r="S11" s="61"/>
      <c r="T11" s="62"/>
      <c r="W11" s="14" t="s">
        <v>82</v>
      </c>
      <c r="X11" s="14" t="s">
        <v>5</v>
      </c>
      <c r="Y11" s="14" t="s">
        <v>89</v>
      </c>
      <c r="Z11" s="14" t="s">
        <v>6</v>
      </c>
    </row>
    <row r="12" spans="1:26" ht="20.25">
      <c r="A12" s="32" t="s">
        <v>40</v>
      </c>
      <c r="B12" s="32"/>
      <c r="C12" s="32"/>
      <c r="D12" s="33">
        <f>VLOOKUP(A12,Potências!$A$4:$B$51,2,FALSE)</f>
        <v>60</v>
      </c>
      <c r="E12" s="45"/>
      <c r="F12" s="34">
        <f>IF(E12&lt;&gt;"",D12*E12,0)</f>
        <v>0</v>
      </c>
      <c r="G12" s="32" t="s">
        <v>21</v>
      </c>
      <c r="H12" s="32"/>
      <c r="I12" s="32"/>
      <c r="J12" s="33"/>
      <c r="K12" s="33">
        <f>VLOOKUP(G12,Potências!$A$4:$B$53,2,FALSE)</f>
        <v>3500</v>
      </c>
      <c r="L12" s="45"/>
      <c r="M12" s="34">
        <f>IF(L12&lt;&gt;"",K12*L12,0)</f>
        <v>0</v>
      </c>
      <c r="P12" s="63" t="s">
        <v>75</v>
      </c>
      <c r="Q12" s="64"/>
      <c r="R12" s="22" t="s">
        <v>77</v>
      </c>
      <c r="S12" s="22"/>
      <c r="T12" s="23"/>
      <c r="W12" s="14" t="str">
        <f>VLOOKUP(X12,Potências!$A$4:$C$51,3,FALSE)</f>
        <v>Iluminação ou Tomadas Coletivas</v>
      </c>
      <c r="X12" s="14" t="str">
        <f aca="true" t="shared" si="0" ref="X12:X35">A12</f>
        <v>LÂMPADA INCAND. 60W</v>
      </c>
      <c r="Y12" s="18">
        <f aca="true" t="shared" si="1" ref="Y12:Y36">F12</f>
        <v>0</v>
      </c>
      <c r="Z12" s="14">
        <f>E12</f>
        <v>0</v>
      </c>
    </row>
    <row r="13" spans="1:26" ht="20.25">
      <c r="A13" s="35" t="s">
        <v>41</v>
      </c>
      <c r="B13" s="35"/>
      <c r="C13" s="35"/>
      <c r="D13" s="36">
        <f>VLOOKUP(A13,Potências!$A$4:$B$51,2,FALSE)</f>
        <v>100</v>
      </c>
      <c r="E13" s="46"/>
      <c r="F13" s="37">
        <f aca="true" t="shared" si="2" ref="F13:F37">IF(E13&lt;&gt;"",D13*E13,0)</f>
        <v>0</v>
      </c>
      <c r="G13" s="35" t="s">
        <v>22</v>
      </c>
      <c r="H13" s="38"/>
      <c r="I13" s="39"/>
      <c r="J13" s="40"/>
      <c r="K13" s="33">
        <f>VLOOKUP(G13,Potências!$A$4:$B$53,2,FALSE)</f>
        <v>500</v>
      </c>
      <c r="L13" s="46"/>
      <c r="M13" s="37">
        <f aca="true" t="shared" si="3" ref="M13:M37">IF(L13&lt;&gt;"",K13*L13,0)</f>
        <v>0</v>
      </c>
      <c r="P13" s="65" t="s">
        <v>75</v>
      </c>
      <c r="Q13" s="24">
        <f>Q12</f>
        <v>0</v>
      </c>
      <c r="R13" s="24"/>
      <c r="S13" s="24"/>
      <c r="T13" s="25"/>
      <c r="W13" s="14" t="str">
        <f>VLOOKUP(X13,Potências!$A$4:$C$51,3,FALSE)</f>
        <v>Iluminação ou Tomadas Coletivas</v>
      </c>
      <c r="X13" s="14" t="str">
        <f t="shared" si="0"/>
        <v>LÂMPADA INCAND. 100W</v>
      </c>
      <c r="Y13" s="18">
        <f t="shared" si="1"/>
        <v>0</v>
      </c>
      <c r="Z13" s="14">
        <f aca="true" t="shared" si="4" ref="Z13:Z35">E13</f>
        <v>0</v>
      </c>
    </row>
    <row r="14" spans="1:26" ht="20.25">
      <c r="A14" s="35" t="s">
        <v>42</v>
      </c>
      <c r="B14" s="35"/>
      <c r="C14" s="35"/>
      <c r="D14" s="36">
        <f>VLOOKUP(A14,Potências!$A$4:$B$51,2,FALSE)</f>
        <v>20</v>
      </c>
      <c r="E14" s="46"/>
      <c r="F14" s="37">
        <f t="shared" si="2"/>
        <v>0</v>
      </c>
      <c r="G14" s="35" t="s">
        <v>23</v>
      </c>
      <c r="H14" s="35"/>
      <c r="I14" s="38"/>
      <c r="J14" s="40"/>
      <c r="K14" s="33">
        <f>VLOOKUP(G14,Potências!$A$4:$B$53,2,FALSE)</f>
        <v>1300</v>
      </c>
      <c r="L14" s="46"/>
      <c r="M14" s="37">
        <f t="shared" si="3"/>
        <v>0</v>
      </c>
      <c r="P14" s="66"/>
      <c r="Q14" s="66"/>
      <c r="R14" s="66"/>
      <c r="S14" s="66"/>
      <c r="T14" s="66"/>
      <c r="W14" s="14" t="str">
        <f>VLOOKUP(X14,Potências!$A$4:$C$51,3,FALSE)</f>
        <v>Iluminação ou Tomadas Coletivas</v>
      </c>
      <c r="X14" s="14" t="str">
        <f t="shared" si="0"/>
        <v>LÂMPADA FLUORESC. 20W</v>
      </c>
      <c r="Y14" s="18">
        <f t="shared" si="1"/>
        <v>0</v>
      </c>
      <c r="Z14" s="14">
        <f t="shared" si="4"/>
        <v>0</v>
      </c>
    </row>
    <row r="15" spans="1:26" ht="20.25">
      <c r="A15" s="35" t="s">
        <v>43</v>
      </c>
      <c r="B15" s="35"/>
      <c r="C15" s="35"/>
      <c r="D15" s="36">
        <f>VLOOKUP(A15,Potências!$A$4:$B$51,2,FALSE)</f>
        <v>25</v>
      </c>
      <c r="E15" s="46"/>
      <c r="F15" s="37">
        <f t="shared" si="2"/>
        <v>0</v>
      </c>
      <c r="G15" s="35" t="s">
        <v>24</v>
      </c>
      <c r="H15" s="35"/>
      <c r="I15" s="38"/>
      <c r="J15" s="40"/>
      <c r="K15" s="33">
        <f>VLOOKUP(G15,Potências!$A$4:$B$53,2,FALSE)</f>
        <v>1500</v>
      </c>
      <c r="L15" s="46"/>
      <c r="M15" s="37">
        <f t="shared" si="3"/>
        <v>0</v>
      </c>
      <c r="P15" s="60" t="s">
        <v>80</v>
      </c>
      <c r="Q15" s="61"/>
      <c r="R15" s="61"/>
      <c r="S15" s="61"/>
      <c r="T15" s="62"/>
      <c r="W15" s="14" t="str">
        <f>VLOOKUP(X15,Potências!$A$4:$C$51,3,FALSE)</f>
        <v>Iluminação ou Tomadas Coletivas</v>
      </c>
      <c r="X15" s="14" t="str">
        <f t="shared" si="0"/>
        <v>LÂMPADA FLUORESC. 25W</v>
      </c>
      <c r="Y15" s="18">
        <f t="shared" si="1"/>
        <v>0</v>
      </c>
      <c r="Z15" s="14">
        <f t="shared" si="4"/>
        <v>0</v>
      </c>
    </row>
    <row r="16" spans="1:26" ht="20.25">
      <c r="A16" s="35" t="s">
        <v>45</v>
      </c>
      <c r="B16" s="35"/>
      <c r="C16" s="35"/>
      <c r="D16" s="36">
        <f>VLOOKUP(A16,Potências!$A$4:$B$51,2,FALSE)</f>
        <v>32</v>
      </c>
      <c r="E16" s="46"/>
      <c r="F16" s="37">
        <f t="shared" si="2"/>
        <v>0</v>
      </c>
      <c r="G16" s="35" t="s">
        <v>25</v>
      </c>
      <c r="H16" s="38"/>
      <c r="I16" s="39"/>
      <c r="J16" s="40"/>
      <c r="K16" s="33">
        <f>VLOOKUP(G16,Potências!$A$4:$B$53,2,FALSE)</f>
        <v>3500</v>
      </c>
      <c r="L16" s="46"/>
      <c r="M16" s="37">
        <f t="shared" si="3"/>
        <v>0</v>
      </c>
      <c r="P16" s="63" t="s">
        <v>81</v>
      </c>
      <c r="Q16" s="64">
        <f>X64</f>
        <v>0</v>
      </c>
      <c r="R16" s="22" t="s">
        <v>92</v>
      </c>
      <c r="S16" s="22"/>
      <c r="T16" s="23"/>
      <c r="W16" s="14" t="str">
        <f>VLOOKUP(X16,Potências!$A$4:$C$51,3,FALSE)</f>
        <v>Iluminação ou Tomadas Coletivas</v>
      </c>
      <c r="X16" s="14" t="str">
        <f t="shared" si="0"/>
        <v>LÂMPADA FLUORESC. 32W</v>
      </c>
      <c r="Y16" s="18">
        <f t="shared" si="1"/>
        <v>0</v>
      </c>
      <c r="Z16" s="14">
        <f t="shared" si="4"/>
        <v>0</v>
      </c>
    </row>
    <row r="17" spans="1:26" ht="20.25">
      <c r="A17" s="35" t="s">
        <v>44</v>
      </c>
      <c r="B17" s="35"/>
      <c r="C17" s="35"/>
      <c r="D17" s="36">
        <f>VLOOKUP(A17,Potências!$A$4:$B$51,2,FALSE)</f>
        <v>40</v>
      </c>
      <c r="E17" s="46"/>
      <c r="F17" s="37">
        <f t="shared" si="2"/>
        <v>0</v>
      </c>
      <c r="G17" s="35" t="s">
        <v>26</v>
      </c>
      <c r="H17" s="35"/>
      <c r="I17" s="38"/>
      <c r="J17" s="40"/>
      <c r="K17" s="33">
        <f>VLOOKUP(G17,Potências!$A$4:$B$53,2,FALSE)</f>
        <v>800</v>
      </c>
      <c r="L17" s="46"/>
      <c r="M17" s="37">
        <f t="shared" si="3"/>
        <v>0</v>
      </c>
      <c r="P17" s="65" t="s">
        <v>93</v>
      </c>
      <c r="Q17" s="67">
        <f>Y64</f>
        <v>0</v>
      </c>
      <c r="R17" s="24">
        <f>IF(Q17=0,0,IF(Q17&gt;=25,Tabelas!B58,(VLOOKUP(Q17,Tabelas!$A$34:$B$58,2,FALSE))))</f>
        <v>0</v>
      </c>
      <c r="S17" s="24"/>
      <c r="T17" s="25">
        <f>R17*Q16</f>
        <v>0</v>
      </c>
      <c r="W17" s="14" t="str">
        <f>VLOOKUP(X17,Potências!$A$4:$C$51,3,FALSE)</f>
        <v>Iluminação ou Tomadas Coletivas</v>
      </c>
      <c r="X17" s="14" t="str">
        <f t="shared" si="0"/>
        <v>LÂMPADA FLUORESC. 40W</v>
      </c>
      <c r="Y17" s="18">
        <f t="shared" si="1"/>
        <v>0</v>
      </c>
      <c r="Z17" s="14">
        <f t="shared" si="4"/>
        <v>0</v>
      </c>
    </row>
    <row r="18" spans="1:26" ht="20.25">
      <c r="A18" s="35" t="s">
        <v>7</v>
      </c>
      <c r="B18" s="38"/>
      <c r="C18" s="41"/>
      <c r="D18" s="36">
        <f>VLOOKUP(A18,Potências!$A$4:$B$51,2,FALSE)</f>
        <v>5000</v>
      </c>
      <c r="E18" s="46"/>
      <c r="F18" s="37">
        <f t="shared" si="2"/>
        <v>0</v>
      </c>
      <c r="G18" s="35" t="s">
        <v>27</v>
      </c>
      <c r="H18" s="38"/>
      <c r="I18" s="39"/>
      <c r="J18" s="40"/>
      <c r="K18" s="33">
        <f>VLOOKUP(G18,Potências!$A$4:$B$53,2,FALSE)</f>
        <v>100</v>
      </c>
      <c r="L18" s="46"/>
      <c r="M18" s="37">
        <f t="shared" si="3"/>
        <v>0</v>
      </c>
      <c r="N18" s="59" t="s">
        <v>148</v>
      </c>
      <c r="O18" s="21" t="s">
        <v>150</v>
      </c>
      <c r="P18" s="66"/>
      <c r="Q18" s="68"/>
      <c r="R18" s="66"/>
      <c r="S18" s="66"/>
      <c r="T18" s="66"/>
      <c r="W18" s="14" t="str">
        <f>VLOOKUP(X18,Potências!$A$4:$C$51,3,FALSE)</f>
        <v>Aparelho Aquecimento</v>
      </c>
      <c r="X18" s="14" t="str">
        <f t="shared" si="0"/>
        <v>CHUVEIRO</v>
      </c>
      <c r="Y18" s="18">
        <f t="shared" si="1"/>
        <v>0</v>
      </c>
      <c r="Z18" s="14">
        <f t="shared" si="4"/>
        <v>0</v>
      </c>
    </row>
    <row r="19" spans="1:26" ht="20.25">
      <c r="A19" s="35" t="s">
        <v>8</v>
      </c>
      <c r="B19" s="38"/>
      <c r="C19" s="41"/>
      <c r="D19" s="36">
        <f>VLOOKUP(A19,Potências!$A$4:$B$51,2,FALSE)</f>
        <v>90</v>
      </c>
      <c r="E19" s="46"/>
      <c r="F19" s="37">
        <f t="shared" si="2"/>
        <v>0</v>
      </c>
      <c r="G19" s="35" t="s">
        <v>28</v>
      </c>
      <c r="H19" s="38"/>
      <c r="I19" s="39"/>
      <c r="J19" s="82">
        <v>0.5</v>
      </c>
      <c r="K19" s="33">
        <f>VLOOKUP(G19,Potências!$A$4:$B$53,2,FALSE)</f>
        <v>368</v>
      </c>
      <c r="L19" s="46"/>
      <c r="M19" s="37">
        <f t="shared" si="3"/>
        <v>0</v>
      </c>
      <c r="N19" s="59">
        <f>L19*Tabelas!B67*1000</f>
        <v>0</v>
      </c>
      <c r="O19" s="21">
        <f aca="true" t="shared" si="5" ref="O19:O30">J19*L19</f>
        <v>0</v>
      </c>
      <c r="P19" s="69" t="s">
        <v>142</v>
      </c>
      <c r="Q19" s="70"/>
      <c r="R19" s="61"/>
      <c r="S19" s="61"/>
      <c r="T19" s="62"/>
      <c r="W19" s="14" t="str">
        <f>VLOOKUP(X19,Potências!$A$4:$C$51,3,FALSE)</f>
        <v>Iluminação ou Tomadas Coletivas</v>
      </c>
      <c r="X19" s="14" t="str">
        <f t="shared" si="0"/>
        <v>TELEVISÃO</v>
      </c>
      <c r="Y19" s="18">
        <f t="shared" si="1"/>
        <v>0</v>
      </c>
      <c r="Z19" s="14">
        <f t="shared" si="4"/>
        <v>0</v>
      </c>
    </row>
    <row r="20" spans="1:26" ht="20.25">
      <c r="A20" s="35" t="s">
        <v>48</v>
      </c>
      <c r="B20" s="38"/>
      <c r="C20" s="41"/>
      <c r="D20" s="36">
        <f>VLOOKUP(A20,Potências!$A$4:$B$51,2,FALSE)</f>
        <v>300</v>
      </c>
      <c r="E20" s="46"/>
      <c r="F20" s="37">
        <f t="shared" si="2"/>
        <v>0</v>
      </c>
      <c r="G20" s="35" t="s">
        <v>29</v>
      </c>
      <c r="H20" s="38"/>
      <c r="I20" s="39"/>
      <c r="J20" s="82">
        <f>3/4</f>
        <v>0.75</v>
      </c>
      <c r="K20" s="33">
        <f>VLOOKUP(G20,Potências!$A$4:$B$53,2,FALSE)</f>
        <v>552</v>
      </c>
      <c r="L20" s="46"/>
      <c r="M20" s="37">
        <f t="shared" si="3"/>
        <v>0</v>
      </c>
      <c r="N20" s="59">
        <f>L20*1000*Tabelas!B68</f>
        <v>0</v>
      </c>
      <c r="O20" s="21">
        <f t="shared" si="5"/>
        <v>0</v>
      </c>
      <c r="P20" s="71" t="s">
        <v>145</v>
      </c>
      <c r="Q20" s="72">
        <f>X65</f>
        <v>0</v>
      </c>
      <c r="R20" s="22" t="s">
        <v>99</v>
      </c>
      <c r="S20" s="22"/>
      <c r="T20" s="23"/>
      <c r="W20" s="14" t="str">
        <f>VLOOKUP(X20,Potências!$A$4:$C$51,3,FALSE)</f>
        <v>Iluminação ou Tomadas Coletivas</v>
      </c>
      <c r="X20" s="14" t="str">
        <f t="shared" si="0"/>
        <v>REFRIGERADOR</v>
      </c>
      <c r="Y20" s="18">
        <f t="shared" si="1"/>
        <v>0</v>
      </c>
      <c r="Z20" s="14">
        <f t="shared" si="4"/>
        <v>0</v>
      </c>
    </row>
    <row r="21" spans="1:26" ht="20.25">
      <c r="A21" s="35" t="s">
        <v>9</v>
      </c>
      <c r="B21" s="38"/>
      <c r="C21" s="41"/>
      <c r="D21" s="36">
        <f>VLOOKUP(A21,Potências!$A$4:$B$51,2,FALSE)</f>
        <v>1000</v>
      </c>
      <c r="E21" s="46"/>
      <c r="F21" s="37">
        <f t="shared" si="2"/>
        <v>0</v>
      </c>
      <c r="G21" s="35" t="s">
        <v>30</v>
      </c>
      <c r="H21" s="38"/>
      <c r="I21" s="39"/>
      <c r="J21" s="82">
        <v>1</v>
      </c>
      <c r="K21" s="33">
        <f>VLOOKUP(G21,Potências!$A$4:$B$53,2,FALSE)</f>
        <v>736</v>
      </c>
      <c r="L21" s="46"/>
      <c r="M21" s="37">
        <f t="shared" si="3"/>
        <v>0</v>
      </c>
      <c r="N21" s="59">
        <f>L21*1000*Tabelas!B69</f>
        <v>0</v>
      </c>
      <c r="O21" s="21">
        <f t="shared" si="5"/>
        <v>0</v>
      </c>
      <c r="P21" s="22"/>
      <c r="Q21" s="73"/>
      <c r="R21" s="74"/>
      <c r="S21" s="74"/>
      <c r="T21" s="23"/>
      <c r="W21" s="14" t="str">
        <f>VLOOKUP(X21,Potências!$A$4:$C$51,3,FALSE)</f>
        <v>Iluminação ou Tomadas Coletivas</v>
      </c>
      <c r="X21" s="14" t="str">
        <f t="shared" si="0"/>
        <v>ASPIRADOR DE PÓ</v>
      </c>
      <c r="Y21" s="18">
        <f t="shared" si="1"/>
        <v>0</v>
      </c>
      <c r="Z21" s="14">
        <f t="shared" si="4"/>
        <v>0</v>
      </c>
    </row>
    <row r="22" spans="1:26" ht="20.25">
      <c r="A22" s="35" t="s">
        <v>10</v>
      </c>
      <c r="B22" s="35"/>
      <c r="C22" s="35"/>
      <c r="D22" s="36">
        <f>VLOOKUP(A22,Potências!$A$4:$B$51,2,FALSE)</f>
        <v>1000</v>
      </c>
      <c r="E22" s="46"/>
      <c r="F22" s="37">
        <f t="shared" si="2"/>
        <v>0</v>
      </c>
      <c r="G22" s="162" t="s">
        <v>206</v>
      </c>
      <c r="H22" s="163"/>
      <c r="I22" s="164"/>
      <c r="J22" s="165">
        <v>1</v>
      </c>
      <c r="K22" s="166">
        <f>VLOOKUP(G22,Potências!$A$4:$B$53,2,FALSE)</f>
        <v>1104</v>
      </c>
      <c r="L22" s="167"/>
      <c r="M22" s="168">
        <f aca="true" t="shared" si="6" ref="M22:M30">IF(L22&lt;&gt;"",K22*L22,0)</f>
        <v>0</v>
      </c>
      <c r="N22" s="169">
        <f>L22*1000*Tabelas!B70</f>
        <v>0</v>
      </c>
      <c r="O22" s="170">
        <f t="shared" si="5"/>
        <v>0</v>
      </c>
      <c r="P22" s="24" t="s">
        <v>98</v>
      </c>
      <c r="Q22" s="67">
        <f>IF(AND(S21="",R21=""),Y65,1)</f>
        <v>0</v>
      </c>
      <c r="R22" s="24" t="s">
        <v>143</v>
      </c>
      <c r="S22" s="24">
        <f>((IF(S21="",(E30*Tabelas!B71)+(E31*Tabelas!B72),IF(S21&lt;&gt;"",746/1000,Calc!Q20)))*1000)+IF(R21&lt;&gt;"",Q20*746,0)</f>
        <v>0</v>
      </c>
      <c r="T22" s="25"/>
      <c r="W22" s="14" t="str">
        <f>VLOOKUP(X22,Potências!$A$4:$C$51,3,FALSE)</f>
        <v>Aparelho Aquecimento</v>
      </c>
      <c r="X22" s="14" t="str">
        <f t="shared" si="0"/>
        <v>FERRO DE PASSAR ROUPA</v>
      </c>
      <c r="Y22" s="18">
        <f t="shared" si="1"/>
        <v>0</v>
      </c>
      <c r="Z22" s="14">
        <f t="shared" si="4"/>
        <v>0</v>
      </c>
    </row>
    <row r="23" spans="1:26" ht="20.25">
      <c r="A23" s="35" t="s">
        <v>79</v>
      </c>
      <c r="B23" s="35"/>
      <c r="C23" s="35"/>
      <c r="D23" s="36">
        <f>VLOOKUP(A23,Potências!$A$4:$B$51,2,FALSE)</f>
        <v>1500</v>
      </c>
      <c r="E23" s="46"/>
      <c r="F23" s="37">
        <f t="shared" si="2"/>
        <v>0</v>
      </c>
      <c r="G23" s="162" t="s">
        <v>205</v>
      </c>
      <c r="H23" s="163"/>
      <c r="I23" s="164"/>
      <c r="J23" s="165">
        <v>1</v>
      </c>
      <c r="K23" s="166">
        <f>VLOOKUP(G23,Potências!$A$4:$B$53,2,FALSE)</f>
        <v>1472</v>
      </c>
      <c r="L23" s="167"/>
      <c r="M23" s="168">
        <f t="shared" si="6"/>
        <v>0</v>
      </c>
      <c r="N23" s="169">
        <f>L23*1000*Tabelas!B71</f>
        <v>0</v>
      </c>
      <c r="O23" s="170">
        <f t="shared" si="5"/>
        <v>0</v>
      </c>
      <c r="P23" s="66"/>
      <c r="Q23" s="68"/>
      <c r="R23" s="66"/>
      <c r="S23" s="66"/>
      <c r="T23" s="66"/>
      <c r="W23" s="14" t="str">
        <f>VLOOKUP(X23,Potências!$A$4:$C$51,3,FALSE)</f>
        <v>Aparelho Aquecimento</v>
      </c>
      <c r="X23" s="14" t="str">
        <f t="shared" si="0"/>
        <v>LAVADORA DE ROUPA</v>
      </c>
      <c r="Y23" s="18">
        <f t="shared" si="1"/>
        <v>0</v>
      </c>
      <c r="Z23" s="14">
        <f t="shared" si="4"/>
        <v>0</v>
      </c>
    </row>
    <row r="24" spans="1:26" ht="20.25">
      <c r="A24" s="35" t="s">
        <v>11</v>
      </c>
      <c r="B24" s="38"/>
      <c r="C24" s="41"/>
      <c r="D24" s="36">
        <f>VLOOKUP(A24,Potências!$A$4:$B$51,2,FALSE)</f>
        <v>350</v>
      </c>
      <c r="E24" s="46"/>
      <c r="F24" s="37">
        <f t="shared" si="2"/>
        <v>0</v>
      </c>
      <c r="G24" s="35" t="s">
        <v>31</v>
      </c>
      <c r="H24" s="38"/>
      <c r="I24" s="39"/>
      <c r="J24" s="83">
        <v>3</v>
      </c>
      <c r="K24" s="33">
        <f>VLOOKUP(G24,Potências!$A$4:$B$53,2,FALSE)</f>
        <v>2208</v>
      </c>
      <c r="L24" s="46"/>
      <c r="M24" s="37">
        <f t="shared" si="6"/>
        <v>0</v>
      </c>
      <c r="N24" s="59">
        <f>L24*1000*Tabelas!B72</f>
        <v>0</v>
      </c>
      <c r="O24" s="21">
        <f t="shared" si="5"/>
        <v>0</v>
      </c>
      <c r="P24" s="69" t="s">
        <v>144</v>
      </c>
      <c r="Q24" s="70"/>
      <c r="R24" s="61"/>
      <c r="S24" s="61"/>
      <c r="T24" s="62"/>
      <c r="W24" s="14" t="str">
        <f>VLOOKUP(X24,Potências!$A$4:$C$51,3,FALSE)</f>
        <v>Iluminação ou Tomadas Coletivas</v>
      </c>
      <c r="X24" s="14" t="str">
        <f t="shared" si="0"/>
        <v>ENCERADEIRA</v>
      </c>
      <c r="Y24" s="18">
        <f t="shared" si="1"/>
        <v>0</v>
      </c>
      <c r="Z24" s="14">
        <f t="shared" si="4"/>
        <v>0</v>
      </c>
    </row>
    <row r="25" spans="1:26" ht="20.25">
      <c r="A25" s="35" t="s">
        <v>12</v>
      </c>
      <c r="B25" s="38"/>
      <c r="C25" s="41"/>
      <c r="D25" s="36">
        <f>VLOOKUP(A25,Potências!$A$4:$B$51,2,FALSE)</f>
        <v>400</v>
      </c>
      <c r="E25" s="46"/>
      <c r="F25" s="37">
        <f t="shared" si="2"/>
        <v>0</v>
      </c>
      <c r="G25" s="35" t="s">
        <v>32</v>
      </c>
      <c r="H25" s="38"/>
      <c r="I25" s="39"/>
      <c r="J25" s="82">
        <v>5</v>
      </c>
      <c r="K25" s="33">
        <f>VLOOKUP(G25,Potências!$A$4:$B$53,2,FALSE)</f>
        <v>3680</v>
      </c>
      <c r="L25" s="46"/>
      <c r="M25" s="37">
        <f t="shared" si="6"/>
        <v>0</v>
      </c>
      <c r="N25" s="59">
        <f>L25*1000*Tabelas!B73</f>
        <v>0</v>
      </c>
      <c r="O25" s="21">
        <f t="shared" si="5"/>
        <v>0</v>
      </c>
      <c r="P25" s="22" t="s">
        <v>146</v>
      </c>
      <c r="Q25" s="75">
        <f>+M33</f>
        <v>0</v>
      </c>
      <c r="R25" s="64"/>
      <c r="S25" s="22"/>
      <c r="T25" s="23"/>
      <c r="W25" s="14" t="str">
        <f>VLOOKUP(X25,Potências!$A$4:$C$51,3,FALSE)</f>
        <v>Iluminação ou Tomadas Coletivas</v>
      </c>
      <c r="X25" s="14" t="str">
        <f t="shared" si="0"/>
        <v>LIQUIDIFICADOR</v>
      </c>
      <c r="Y25" s="18">
        <f t="shared" si="1"/>
        <v>0</v>
      </c>
      <c r="Z25" s="14">
        <f t="shared" si="4"/>
        <v>0</v>
      </c>
    </row>
    <row r="26" spans="1:26" ht="20.25">
      <c r="A26" s="35" t="s">
        <v>13</v>
      </c>
      <c r="B26" s="35"/>
      <c r="C26" s="35"/>
      <c r="D26" s="36">
        <f>VLOOKUP(A26,Potências!$A$4:$B$51,2,FALSE)</f>
        <v>1000</v>
      </c>
      <c r="E26" s="46"/>
      <c r="F26" s="37">
        <f t="shared" si="2"/>
        <v>0</v>
      </c>
      <c r="G26" s="35" t="s">
        <v>149</v>
      </c>
      <c r="H26" s="38"/>
      <c r="I26" s="39"/>
      <c r="J26" s="82">
        <v>7.5</v>
      </c>
      <c r="K26" s="33">
        <f>VLOOKUP(G26,Potências!$A$4:$B$53,2,FALSE)</f>
        <v>5520</v>
      </c>
      <c r="L26" s="46"/>
      <c r="M26" s="37">
        <f t="shared" si="6"/>
        <v>0</v>
      </c>
      <c r="N26" s="59">
        <f>L26*1000*Tabelas!B74</f>
        <v>0</v>
      </c>
      <c r="O26" s="21">
        <f t="shared" si="5"/>
        <v>0</v>
      </c>
      <c r="P26" s="22"/>
      <c r="Q26" s="73"/>
      <c r="R26" s="66"/>
      <c r="S26" s="76"/>
      <c r="T26" s="23"/>
      <c r="W26" s="14" t="str">
        <f>VLOOKUP(X26,Potências!$A$4:$C$51,3,FALSE)</f>
        <v>Aparelho Aquecimento</v>
      </c>
      <c r="X26" s="14" t="str">
        <f t="shared" si="0"/>
        <v>SECADOR DE CABELOS</v>
      </c>
      <c r="Y26" s="18">
        <f t="shared" si="1"/>
        <v>0</v>
      </c>
      <c r="Z26" s="14">
        <f t="shared" si="4"/>
        <v>0</v>
      </c>
    </row>
    <row r="27" spans="1:26" ht="20.25">
      <c r="A27" s="35" t="s">
        <v>14</v>
      </c>
      <c r="B27" s="38"/>
      <c r="C27" s="41"/>
      <c r="D27" s="36">
        <f>VLOOKUP(A27,Potências!$A$4:$B$51,2,FALSE)</f>
        <v>100</v>
      </c>
      <c r="E27" s="46"/>
      <c r="F27" s="37">
        <f t="shared" si="2"/>
        <v>0</v>
      </c>
      <c r="G27" s="35" t="s">
        <v>33</v>
      </c>
      <c r="H27" s="38"/>
      <c r="I27" s="39"/>
      <c r="J27" s="82">
        <v>10</v>
      </c>
      <c r="K27" s="33">
        <f>VLOOKUP(G27,Potências!$A$4:$B$53,2,FALSE)</f>
        <v>7360</v>
      </c>
      <c r="L27" s="46"/>
      <c r="M27" s="37">
        <f t="shared" si="6"/>
        <v>0</v>
      </c>
      <c r="N27" s="59">
        <f>L27*1000*Tabelas!B75</f>
        <v>0</v>
      </c>
      <c r="O27" s="21">
        <f t="shared" si="5"/>
        <v>0</v>
      </c>
      <c r="P27" s="24" t="s">
        <v>146</v>
      </c>
      <c r="Q27" s="77">
        <f>Q25</f>
        <v>0</v>
      </c>
      <c r="R27" s="24"/>
      <c r="S27" s="24"/>
      <c r="T27" s="25"/>
      <c r="W27" s="14" t="str">
        <f>VLOOKUP(X27,Potências!$A$4:$C$51,3,FALSE)</f>
        <v>Iluminação ou Tomadas Coletivas</v>
      </c>
      <c r="X27" s="14" t="str">
        <f t="shared" si="0"/>
        <v>VENTILADOR</v>
      </c>
      <c r="Y27" s="18">
        <f t="shared" si="1"/>
        <v>0</v>
      </c>
      <c r="Z27" s="14">
        <f t="shared" si="4"/>
        <v>0</v>
      </c>
    </row>
    <row r="28" spans="1:26" ht="20.25">
      <c r="A28" s="35" t="s">
        <v>15</v>
      </c>
      <c r="B28" s="35"/>
      <c r="C28" s="35"/>
      <c r="D28" s="36">
        <f>VLOOKUP(A28,Potências!$A$4:$B$51,2,FALSE)</f>
        <v>3500</v>
      </c>
      <c r="E28" s="46"/>
      <c r="F28" s="37">
        <f t="shared" si="2"/>
        <v>0</v>
      </c>
      <c r="G28" s="35" t="s">
        <v>34</v>
      </c>
      <c r="H28" s="38"/>
      <c r="I28" s="39"/>
      <c r="J28" s="82">
        <v>15</v>
      </c>
      <c r="K28" s="33">
        <f>VLOOKUP(G28,Potências!$A$4:$B$53,2,FALSE)</f>
        <v>11040</v>
      </c>
      <c r="L28" s="46"/>
      <c r="M28" s="37">
        <f t="shared" si="6"/>
        <v>0</v>
      </c>
      <c r="N28" s="59">
        <f>L28*1000*Tabelas!B76</f>
        <v>0</v>
      </c>
      <c r="O28" s="21">
        <f t="shared" si="5"/>
        <v>0</v>
      </c>
      <c r="P28" s="66"/>
      <c r="Q28" s="66"/>
      <c r="R28" s="66"/>
      <c r="S28" s="66"/>
      <c r="T28" s="66"/>
      <c r="W28" s="14" t="str">
        <f>VLOOKUP(X28,Potências!$A$4:$C$51,3,FALSE)</f>
        <v>Aparelho Aquecimento</v>
      </c>
      <c r="X28" s="14" t="str">
        <f t="shared" si="0"/>
        <v>SECADORA DE ROUPA</v>
      </c>
      <c r="Y28" s="18">
        <f t="shared" si="1"/>
        <v>0</v>
      </c>
      <c r="Z28" s="14">
        <f t="shared" si="4"/>
        <v>0</v>
      </c>
    </row>
    <row r="29" spans="1:26" ht="20.25">
      <c r="A29" s="35" t="s">
        <v>16</v>
      </c>
      <c r="B29" s="35"/>
      <c r="C29" s="35"/>
      <c r="D29" s="36">
        <f>VLOOKUP(A29,Potências!$A$4:$B$51,2,FALSE)</f>
        <v>100</v>
      </c>
      <c r="E29" s="46"/>
      <c r="F29" s="37">
        <f t="shared" si="2"/>
        <v>0</v>
      </c>
      <c r="G29" s="35" t="s">
        <v>35</v>
      </c>
      <c r="H29" s="38"/>
      <c r="I29" s="39"/>
      <c r="J29" s="82">
        <v>25</v>
      </c>
      <c r="K29" s="33">
        <f>VLOOKUP(G29,Potências!$A$4:$B$53,2,FALSE)</f>
        <v>18400</v>
      </c>
      <c r="L29" s="46"/>
      <c r="M29" s="37">
        <f t="shared" si="6"/>
        <v>0</v>
      </c>
      <c r="N29" s="59">
        <f>L29*1000*Tabelas!B78</f>
        <v>0</v>
      </c>
      <c r="O29" s="21">
        <f t="shared" si="5"/>
        <v>0</v>
      </c>
      <c r="P29" s="78" t="s">
        <v>124</v>
      </c>
      <c r="Q29" s="70"/>
      <c r="R29" s="61"/>
      <c r="S29" s="61"/>
      <c r="T29" s="62"/>
      <c r="W29" s="14" t="str">
        <f>VLOOKUP(X29,Potências!$A$4:$C$51,3,FALSE)</f>
        <v>Iluminação ou Tomadas Coletivas</v>
      </c>
      <c r="X29" s="14" t="str">
        <f t="shared" si="0"/>
        <v>VENTILADOR DE TETO</v>
      </c>
      <c r="Y29" s="18">
        <f t="shared" si="1"/>
        <v>0</v>
      </c>
      <c r="Z29" s="14">
        <f t="shared" si="4"/>
        <v>0</v>
      </c>
    </row>
    <row r="30" spans="1:26" ht="20.25">
      <c r="A30" s="35" t="s">
        <v>18</v>
      </c>
      <c r="B30" s="35"/>
      <c r="C30" s="35"/>
      <c r="D30" s="51">
        <f>VLOOKUP(A30,Potências!$A$4:$D$51,4,FALSE)</f>
        <v>2</v>
      </c>
      <c r="E30" s="46"/>
      <c r="F30" s="37">
        <f t="shared" si="2"/>
        <v>0</v>
      </c>
      <c r="G30" s="35" t="s">
        <v>36</v>
      </c>
      <c r="H30" s="38"/>
      <c r="I30" s="39"/>
      <c r="J30" s="82">
        <v>50</v>
      </c>
      <c r="K30" s="33">
        <f>VLOOKUP(G30,Potências!$A$4:$B$53,2,FALSE)</f>
        <v>36800</v>
      </c>
      <c r="L30" s="46"/>
      <c r="M30" s="37">
        <f t="shared" si="6"/>
        <v>0</v>
      </c>
      <c r="N30" s="59">
        <f>L30*1000*Tabelas!B81</f>
        <v>0</v>
      </c>
      <c r="O30" s="21">
        <f t="shared" si="5"/>
        <v>0</v>
      </c>
      <c r="P30" s="22" t="s">
        <v>126</v>
      </c>
      <c r="Q30" s="72">
        <f>X66</f>
        <v>0</v>
      </c>
      <c r="R30" s="22" t="s">
        <v>125</v>
      </c>
      <c r="S30" s="22"/>
      <c r="T30" s="23"/>
      <c r="W30" s="14" t="str">
        <f>VLOOKUP(X30,Potências!$A$4:$C$51,3,FALSE)</f>
        <v>Condicionador de Ar</v>
      </c>
      <c r="X30" s="14" t="str">
        <f t="shared" si="0"/>
        <v>AR CONDICIONADO 7500BTU's</v>
      </c>
      <c r="Y30" s="18">
        <f t="shared" si="1"/>
        <v>0</v>
      </c>
      <c r="Z30" s="14">
        <f t="shared" si="4"/>
        <v>0</v>
      </c>
    </row>
    <row r="31" spans="1:26" ht="20.25">
      <c r="A31" s="35" t="s">
        <v>17</v>
      </c>
      <c r="B31" s="35"/>
      <c r="C31" s="35"/>
      <c r="D31" s="51">
        <f>VLOOKUP(A31,Potências!$A$4:$D$51,4,FALSE)</f>
        <v>3</v>
      </c>
      <c r="E31" s="46"/>
      <c r="F31" s="37">
        <f t="shared" si="2"/>
        <v>0</v>
      </c>
      <c r="G31" s="42" t="s">
        <v>39</v>
      </c>
      <c r="H31" s="35"/>
      <c r="I31" s="38"/>
      <c r="J31" s="40"/>
      <c r="K31" s="33">
        <f>VLOOKUP(G31,Potências!$A$4:$B$53,2,FALSE)</f>
        <v>736</v>
      </c>
      <c r="L31" s="46"/>
      <c r="M31" s="37">
        <f t="shared" si="3"/>
        <v>0</v>
      </c>
      <c r="N31" s="59">
        <f>SUM(N19:N30)</f>
        <v>0</v>
      </c>
      <c r="O31" s="56">
        <f>SUM(O19:O30)</f>
        <v>0</v>
      </c>
      <c r="P31" s="24" t="s">
        <v>127</v>
      </c>
      <c r="Q31" s="79">
        <f>IF(AND(Y66=0,S29&lt;&gt;"")=TRUE,1,IF(AND(Y66&gt;0,S29&lt;&gt;"")=TRUE,1+Y66,Y66))</f>
        <v>0</v>
      </c>
      <c r="R31" s="24">
        <f>IF(Q31=0,0,IF(Q31&gt;5,Tabelas!E69,VLOOKUP(Q31,Tabelas!$D$64:$E$68,2,FALSE)))</f>
        <v>0</v>
      </c>
      <c r="S31" s="24"/>
      <c r="T31" s="25">
        <f>SUM(N19:N30)*R31</f>
        <v>0</v>
      </c>
      <c r="W31" s="14" t="str">
        <f>VLOOKUP(X31,Potências!$A$4:$C$51,3,FALSE)</f>
        <v>Condicionador de Ar</v>
      </c>
      <c r="X31" s="14" t="str">
        <f t="shared" si="0"/>
        <v>AR CONDICIONADO 1000BTU's</v>
      </c>
      <c r="Y31" s="18">
        <f t="shared" si="1"/>
        <v>0</v>
      </c>
      <c r="Z31" s="14">
        <f t="shared" si="4"/>
        <v>0</v>
      </c>
    </row>
    <row r="32" spans="1:26" ht="20.25">
      <c r="A32" s="35" t="s">
        <v>78</v>
      </c>
      <c r="B32" s="35"/>
      <c r="C32" s="35"/>
      <c r="D32" s="36">
        <f>VLOOKUP(A32,Potências!$A$4:$B$51,2,FALSE)</f>
        <v>1500</v>
      </c>
      <c r="E32" s="46"/>
      <c r="F32" s="37">
        <f t="shared" si="2"/>
        <v>0</v>
      </c>
      <c r="G32" s="35" t="s">
        <v>49</v>
      </c>
      <c r="H32" s="35"/>
      <c r="I32" s="38"/>
      <c r="J32" s="40"/>
      <c r="K32" s="33">
        <f>VLOOKUP(G32,Potências!$A$4:$B$53,2,FALSE)</f>
        <v>1</v>
      </c>
      <c r="L32" s="46"/>
      <c r="M32" s="37">
        <f t="shared" si="3"/>
        <v>0</v>
      </c>
      <c r="P32" s="66"/>
      <c r="Q32" s="79"/>
      <c r="R32" s="66"/>
      <c r="S32" s="66"/>
      <c r="T32" s="66"/>
      <c r="W32" s="14" t="str">
        <f>VLOOKUP(X32,Potências!$A$4:$C$51,3,FALSE)</f>
        <v>Aparelho Aquecimento</v>
      </c>
      <c r="X32" s="14" t="str">
        <f t="shared" si="0"/>
        <v>LAVADOURA DE LOUÇA</v>
      </c>
      <c r="Y32" s="18">
        <f t="shared" si="1"/>
        <v>0</v>
      </c>
      <c r="Z32" s="14">
        <f t="shared" si="4"/>
        <v>0</v>
      </c>
    </row>
    <row r="33" spans="1:26" ht="20.25">
      <c r="A33" s="35" t="s">
        <v>19</v>
      </c>
      <c r="B33" s="38"/>
      <c r="C33" s="41"/>
      <c r="D33" s="36">
        <f>VLOOKUP(A33,Potências!$A$4:$B$51,2,FALSE)</f>
        <v>200</v>
      </c>
      <c r="E33" s="46"/>
      <c r="F33" s="37">
        <f t="shared" si="2"/>
        <v>0</v>
      </c>
      <c r="G33" s="35" t="s">
        <v>50</v>
      </c>
      <c r="H33" s="35"/>
      <c r="I33" s="35"/>
      <c r="J33" s="36"/>
      <c r="K33" s="33">
        <f>VLOOKUP(G33,Potências!$A$4:$B$53,2,FALSE)</f>
        <v>1</v>
      </c>
      <c r="L33" s="46"/>
      <c r="M33" s="37">
        <f t="shared" si="3"/>
        <v>0</v>
      </c>
      <c r="P33" s="60" t="s">
        <v>128</v>
      </c>
      <c r="Q33" s="70"/>
      <c r="R33" s="61"/>
      <c r="S33" s="61"/>
      <c r="T33" s="62"/>
      <c r="W33" s="14" t="str">
        <f>VLOOKUP(X33,Potências!$A$4:$C$51,3,FALSE)</f>
        <v>Iluminação ou Tomadas Coletivas</v>
      </c>
      <c r="X33" s="14" t="str">
        <f t="shared" si="0"/>
        <v>BATEDEIRA</v>
      </c>
      <c r="Y33" s="18">
        <f t="shared" si="1"/>
        <v>0</v>
      </c>
      <c r="Z33" s="14">
        <f t="shared" si="4"/>
        <v>0</v>
      </c>
    </row>
    <row r="34" spans="1:26" ht="20.25">
      <c r="A34" s="35" t="s">
        <v>20</v>
      </c>
      <c r="B34" s="35"/>
      <c r="C34" s="35"/>
      <c r="D34" s="36">
        <f>VLOOKUP(A34,Potências!$A$4:$B$51,2,FALSE)</f>
        <v>1000</v>
      </c>
      <c r="E34" s="46"/>
      <c r="F34" s="37">
        <f t="shared" si="2"/>
        <v>0</v>
      </c>
      <c r="G34" s="35" t="s">
        <v>51</v>
      </c>
      <c r="H34" s="38"/>
      <c r="I34" s="39"/>
      <c r="J34" s="40"/>
      <c r="K34" s="33">
        <f>VLOOKUP(G34,Potências!$A$4:$B$53,2,FALSE)</f>
        <v>1</v>
      </c>
      <c r="L34" s="46"/>
      <c r="M34" s="37">
        <f t="shared" si="3"/>
        <v>0</v>
      </c>
      <c r="P34" s="63" t="s">
        <v>130</v>
      </c>
      <c r="Q34" s="72">
        <f>X67+X68</f>
        <v>0</v>
      </c>
      <c r="R34" s="22" t="s">
        <v>129</v>
      </c>
      <c r="S34" s="22"/>
      <c r="T34" s="23"/>
      <c r="W34" s="14" t="str">
        <f>VLOOKUP(X34,Potências!$A$4:$C$51,3,FALSE)</f>
        <v>Iluminação ou Tomadas Coletivas</v>
      </c>
      <c r="X34" s="14" t="str">
        <f t="shared" si="0"/>
        <v>CAFETEIRA ELÉTRICA</v>
      </c>
      <c r="Y34" s="18">
        <f t="shared" si="1"/>
        <v>0</v>
      </c>
      <c r="Z34" s="14">
        <f t="shared" si="4"/>
        <v>0</v>
      </c>
    </row>
    <row r="35" spans="1:26" ht="20.25">
      <c r="A35" s="35" t="s">
        <v>59</v>
      </c>
      <c r="B35" s="38"/>
      <c r="C35" s="41"/>
      <c r="D35" s="36">
        <f>VLOOKUP(A35,Potências!$A$4:$B$51,2,FALSE)</f>
        <v>400</v>
      </c>
      <c r="E35" s="46"/>
      <c r="F35" s="37">
        <f t="shared" si="2"/>
        <v>0</v>
      </c>
      <c r="G35" s="35" t="s">
        <v>54</v>
      </c>
      <c r="H35" s="35"/>
      <c r="I35" s="38"/>
      <c r="J35" s="40"/>
      <c r="K35" s="33">
        <f>VLOOKUP(G35,Potências!$A$4:$B$53,2,FALSE)</f>
        <v>1</v>
      </c>
      <c r="L35" s="46"/>
      <c r="M35" s="37">
        <f t="shared" si="3"/>
        <v>0</v>
      </c>
      <c r="P35" s="65"/>
      <c r="Q35" s="24"/>
      <c r="R35" s="24"/>
      <c r="S35" s="24"/>
      <c r="T35" s="25"/>
      <c r="W35" s="14" t="str">
        <f>VLOOKUP(X35,Potências!$A$4:$C$51,3,FALSE)</f>
        <v>Iluminação ou Tomadas Coletivas</v>
      </c>
      <c r="X35" s="14" t="str">
        <f t="shared" si="0"/>
        <v>FREEZER</v>
      </c>
      <c r="Y35" s="18">
        <f t="shared" si="1"/>
        <v>0</v>
      </c>
      <c r="Z35" s="14">
        <f t="shared" si="4"/>
        <v>0</v>
      </c>
    </row>
    <row r="36" spans="1:26" ht="20.25">
      <c r="A36" s="218"/>
      <c r="B36" s="218"/>
      <c r="C36" s="218"/>
      <c r="D36" s="43"/>
      <c r="E36" s="46"/>
      <c r="F36" s="37">
        <f t="shared" si="2"/>
        <v>0</v>
      </c>
      <c r="G36" s="241"/>
      <c r="H36" s="242"/>
      <c r="I36" s="242"/>
      <c r="J36" s="243"/>
      <c r="K36" s="43"/>
      <c r="L36" s="46"/>
      <c r="M36" s="37">
        <f t="shared" si="3"/>
        <v>0</v>
      </c>
      <c r="W36" s="14" t="str">
        <f>VLOOKUP(X36,Potências!$A$4:$C$51,3,FALSE)</f>
        <v>Aparelho Aquecimento</v>
      </c>
      <c r="X36" s="14" t="str">
        <f aca="true" t="shared" si="7" ref="X36:X43">G12</f>
        <v>ESTUFA ELÉTRICA(AQUECEDOR)</v>
      </c>
      <c r="Y36" s="18">
        <f t="shared" si="1"/>
        <v>0</v>
      </c>
      <c r="Z36" s="14">
        <f aca="true" t="shared" si="8" ref="Z36:Z43">L12</f>
        <v>0</v>
      </c>
    </row>
    <row r="37" spans="1:26" ht="20.25">
      <c r="A37" s="218"/>
      <c r="B37" s="218"/>
      <c r="C37" s="218"/>
      <c r="D37" s="43"/>
      <c r="E37" s="46"/>
      <c r="F37" s="37">
        <f t="shared" si="2"/>
        <v>0</v>
      </c>
      <c r="G37" s="241"/>
      <c r="H37" s="242"/>
      <c r="I37" s="242"/>
      <c r="J37" s="243"/>
      <c r="K37" s="43"/>
      <c r="L37" s="46"/>
      <c r="M37" s="37">
        <f t="shared" si="3"/>
        <v>0</v>
      </c>
      <c r="W37" s="14" t="str">
        <f>VLOOKUP(X37,Potências!$A$4:$C$51,3,FALSE)</f>
        <v>Iluminação ou Tomadas Coletivas</v>
      </c>
      <c r="X37" s="14" t="str">
        <f t="shared" si="7"/>
        <v>EXAUSTOR</v>
      </c>
      <c r="Y37" s="18">
        <f aca="true" t="shared" si="9" ref="Y37:Y43">M13</f>
        <v>0</v>
      </c>
      <c r="Z37" s="14">
        <f t="shared" si="8"/>
        <v>0</v>
      </c>
    </row>
    <row r="38" spans="1:26" ht="12.75" customHeight="1">
      <c r="A38" s="225" t="s">
        <v>53</v>
      </c>
      <c r="B38" s="225"/>
      <c r="C38" s="225"/>
      <c r="D38" s="227">
        <f>IF(R38="","",R38/1000)</f>
      </c>
      <c r="E38" s="227"/>
      <c r="F38" s="227"/>
      <c r="G38" s="224"/>
      <c r="H38" s="224"/>
      <c r="I38" s="224"/>
      <c r="J38" s="224"/>
      <c r="K38" s="224"/>
      <c r="L38" s="224"/>
      <c r="M38" s="224"/>
      <c r="P38" s="14" t="s">
        <v>141</v>
      </c>
      <c r="R38" s="52">
        <f>IF(Q12="","",Q13+Q16+S22+Q30+Q34+Q27)</f>
      </c>
      <c r="T38" s="18"/>
      <c r="W38" s="14" t="str">
        <f>VLOOKUP(X38,Potências!$A$4:$C$51,3,FALSE)</f>
        <v>Aparelho Aquecimento</v>
      </c>
      <c r="X38" s="14" t="str">
        <f t="shared" si="7"/>
        <v>FORNO DE MICROONDAS</v>
      </c>
      <c r="Y38" s="18">
        <f t="shared" si="9"/>
        <v>0</v>
      </c>
      <c r="Z38" s="14">
        <f t="shared" si="8"/>
        <v>0</v>
      </c>
    </row>
    <row r="39" spans="1:26" ht="18" customHeight="1">
      <c r="A39" s="226"/>
      <c r="B39" s="226"/>
      <c r="C39" s="226"/>
      <c r="D39" s="217"/>
      <c r="E39" s="217"/>
      <c r="F39" s="217"/>
      <c r="G39" s="224"/>
      <c r="H39" s="224"/>
      <c r="I39" s="224"/>
      <c r="J39" s="224"/>
      <c r="K39" s="224"/>
      <c r="L39" s="224"/>
      <c r="M39" s="224"/>
      <c r="N39" s="19"/>
      <c r="O39" s="19"/>
      <c r="W39" s="14" t="str">
        <f>VLOOKUP(X39,Potências!$A$4:$C$51,3,FALSE)</f>
        <v>Aparelho Aquecimento</v>
      </c>
      <c r="X39" s="14" t="str">
        <f t="shared" si="7"/>
        <v>FORNO ELÉTRICO(DOMÉSTICO)</v>
      </c>
      <c r="Y39" s="18">
        <f t="shared" si="9"/>
        <v>0</v>
      </c>
      <c r="Z39" s="14">
        <f t="shared" si="8"/>
        <v>0</v>
      </c>
    </row>
    <row r="40" spans="1:26" ht="15">
      <c r="A40" s="47" t="s">
        <v>60</v>
      </c>
      <c r="B40" s="28"/>
      <c r="P40" s="55"/>
      <c r="W40" s="14" t="str">
        <f>VLOOKUP(X40,Potências!$A$4:$C$51,3,FALSE)</f>
        <v>Aparelho Aquecimento</v>
      </c>
      <c r="X40" s="14" t="str">
        <f t="shared" si="7"/>
        <v>TORNEIRA ELÉTRICA</v>
      </c>
      <c r="Y40" s="18">
        <f t="shared" si="9"/>
        <v>0</v>
      </c>
      <c r="Z40" s="14">
        <f t="shared" si="8"/>
        <v>0</v>
      </c>
    </row>
    <row r="41" spans="1:26" ht="12.75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1"/>
      <c r="O41" s="57"/>
      <c r="P41" s="57" t="s">
        <v>153</v>
      </c>
      <c r="Q41" s="57" t="s">
        <v>154</v>
      </c>
      <c r="R41" s="57" t="s">
        <v>154</v>
      </c>
      <c r="W41" s="14" t="str">
        <f>VLOOKUP(X41,Potências!$A$4:$C$51,3,FALSE)</f>
        <v>Aparelho Aquecimento</v>
      </c>
      <c r="X41" s="14" t="str">
        <f t="shared" si="7"/>
        <v>TORRADEIRA ELÉTRICA</v>
      </c>
      <c r="Y41" s="18">
        <f t="shared" si="9"/>
        <v>0</v>
      </c>
      <c r="Z41" s="14">
        <f t="shared" si="8"/>
        <v>0</v>
      </c>
    </row>
    <row r="42" spans="1:26" ht="12.7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1"/>
      <c r="O42" s="58" t="s">
        <v>151</v>
      </c>
      <c r="P42" s="57">
        <f>IF(O31&lt;3,3-O31,0)</f>
        <v>3</v>
      </c>
      <c r="Q42" s="57">
        <f>VLOOKUP(P42,Tabelas!$G$64:$H$74,2,FALSE)*1000</f>
        <v>3800</v>
      </c>
      <c r="R42" s="21">
        <f>IF(ISERROR(Q42)=TRUE,Q45,Q42)</f>
        <v>3800</v>
      </c>
      <c r="W42" s="14" t="str">
        <f>VLOOKUP(X42,Potências!$A$4:$C$51,3,FALSE)</f>
        <v>Iluminação ou Tomadas Coletivas</v>
      </c>
      <c r="X42" s="14" t="str">
        <f t="shared" si="7"/>
        <v>VÍDEOCASSETE</v>
      </c>
      <c r="Y42" s="18">
        <f t="shared" si="9"/>
        <v>0</v>
      </c>
      <c r="Z42" s="14">
        <f t="shared" si="8"/>
        <v>0</v>
      </c>
    </row>
    <row r="43" spans="1:26" ht="12.75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1"/>
      <c r="O43" s="58" t="s">
        <v>152</v>
      </c>
      <c r="P43" s="57">
        <f>IF(O31&lt;5,5-O31,0)</f>
        <v>5</v>
      </c>
      <c r="Q43" s="57">
        <f>VLOOKUP(P43,Tabelas!$G$64:$H$74,2,FALSE)*1000</f>
        <v>5400</v>
      </c>
      <c r="R43" s="21">
        <f>IF(ISERROR(Q43)=TRUE,Q46,Q43)</f>
        <v>5400</v>
      </c>
      <c r="W43" s="14" t="str">
        <f>VLOOKUP(X43,Potências!$A$4:$C$53,3,FALSE)</f>
        <v>Motor elétrico</v>
      </c>
      <c r="X43" s="14" t="str">
        <f t="shared" si="7"/>
        <v>MOTOR 1/2CV</v>
      </c>
      <c r="Y43" s="18">
        <f t="shared" si="9"/>
        <v>0</v>
      </c>
      <c r="Z43" s="14">
        <f t="shared" si="8"/>
        <v>0</v>
      </c>
    </row>
    <row r="44" spans="1:26" ht="12.75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1"/>
      <c r="W44" s="14" t="str">
        <f>VLOOKUP(X44,Potências!$A$4:$C$53,3,FALSE)</f>
        <v>Motor elétrico</v>
      </c>
      <c r="X44" s="14" t="str">
        <f aca="true" t="shared" si="10" ref="X44:X54">G20</f>
        <v>MOTOR 3/4CV</v>
      </c>
      <c r="Y44" s="18">
        <f aca="true" t="shared" si="11" ref="Y44:Y54">M20</f>
        <v>0</v>
      </c>
      <c r="Z44" s="14">
        <f aca="true" t="shared" si="12" ref="Z44:Z54">L20</f>
        <v>0</v>
      </c>
    </row>
    <row r="45" spans="1:26" ht="12.75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1"/>
      <c r="P45" s="14">
        <f>ROUND(P42,0)</f>
        <v>3</v>
      </c>
      <c r="Q45" s="57">
        <f>IF(ISERROR(VLOOKUP(P45,Tabelas!$G$64:$H$74,2,FALSE)*1000),VLOOKUP((P45-1),Tabelas!$G$64:$H$74,2,FALSE)*1000,VLOOKUP(P45,Tabelas!$G$64:$H$74,2,FALSE)*1000)</f>
        <v>3800</v>
      </c>
      <c r="W45" s="14" t="str">
        <f>VLOOKUP(X45,Potências!$A$4:$C$53,3,FALSE)</f>
        <v>Motor elétrico</v>
      </c>
      <c r="X45" s="14" t="str">
        <f t="shared" si="10"/>
        <v>MOTOR 1CV</v>
      </c>
      <c r="Y45" s="18">
        <f t="shared" si="11"/>
        <v>0</v>
      </c>
      <c r="Z45" s="14">
        <f t="shared" si="12"/>
        <v>0</v>
      </c>
    </row>
    <row r="46" spans="1:26" ht="12.75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1"/>
      <c r="P46" s="14">
        <f>ROUND(P43,0)</f>
        <v>5</v>
      </c>
      <c r="Q46" s="57">
        <f>IF(ISERROR(VLOOKUP(P46,Tabelas!$G$64:$H$74,2,FALSE)*1000),VLOOKUP((P46-1),Tabelas!$G$64:$H$74,2,FALSE)*1000,VLOOKUP(P46,Tabelas!$G$64:$H$74,2,FALSE)*1000)</f>
        <v>5400</v>
      </c>
      <c r="W46" s="14" t="str">
        <f>VLOOKUP(X46,Potências!$A$4:$C$53,3,FALSE)</f>
        <v>Motor elétrico</v>
      </c>
      <c r="X46" s="14" t="str">
        <f t="shared" si="10"/>
        <v>MOTOR 1,5CV</v>
      </c>
      <c r="Y46" s="18">
        <f t="shared" si="11"/>
        <v>0</v>
      </c>
      <c r="Z46" s="14">
        <f t="shared" si="12"/>
        <v>0</v>
      </c>
    </row>
    <row r="47" spans="1:26" ht="12.75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1"/>
      <c r="W47" s="14" t="str">
        <f>VLOOKUP(X47,Potências!$A$4:$C$53,3,FALSE)</f>
        <v>Motor elétrico</v>
      </c>
      <c r="X47" s="14" t="str">
        <f t="shared" si="10"/>
        <v>MOTOR 2CV</v>
      </c>
      <c r="Y47" s="18">
        <f t="shared" si="11"/>
        <v>0</v>
      </c>
      <c r="Z47" s="14">
        <f t="shared" si="12"/>
        <v>0</v>
      </c>
    </row>
    <row r="48" spans="1:26" ht="12.75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1"/>
      <c r="R48" s="53"/>
      <c r="W48" s="14" t="str">
        <f>VLOOKUP(X48,Potências!$A$4:$C$53,3,FALSE)</f>
        <v>Motor elétrico</v>
      </c>
      <c r="X48" s="14" t="str">
        <f t="shared" si="10"/>
        <v>MOTOR 3CV</v>
      </c>
      <c r="Y48" s="18">
        <f t="shared" si="11"/>
        <v>0</v>
      </c>
      <c r="Z48" s="14">
        <f t="shared" si="12"/>
        <v>0</v>
      </c>
    </row>
    <row r="49" spans="1:26" ht="20.25">
      <c r="A49" s="48" t="s">
        <v>61</v>
      </c>
      <c r="B49" s="17"/>
      <c r="C49" s="17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W49" s="14" t="str">
        <f>VLOOKUP(X49,Potências!$A$4:$C$53,3,FALSE)</f>
        <v>Motor elétrico</v>
      </c>
      <c r="X49" s="14" t="str">
        <f t="shared" si="10"/>
        <v>MOTOR 5CV</v>
      </c>
      <c r="Y49" s="18">
        <f t="shared" si="11"/>
        <v>0</v>
      </c>
      <c r="Z49" s="14">
        <f t="shared" si="12"/>
        <v>0</v>
      </c>
    </row>
    <row r="50" spans="1:26" ht="15.75" customHeight="1">
      <c r="A50" s="231" t="s">
        <v>55</v>
      </c>
      <c r="B50" s="232"/>
      <c r="C50" s="232"/>
      <c r="D50" s="216"/>
      <c r="E50" s="216"/>
      <c r="F50" s="216"/>
      <c r="G50" s="22"/>
      <c r="H50" s="22"/>
      <c r="I50" s="22"/>
      <c r="J50" s="22"/>
      <c r="K50" s="22"/>
      <c r="L50" s="22"/>
      <c r="M50" s="23"/>
      <c r="W50" s="14" t="str">
        <f>VLOOKUP(X50,Potências!$A$4:$C$53,3,FALSE)</f>
        <v>Motor elétrico</v>
      </c>
      <c r="X50" s="14" t="str">
        <f t="shared" si="10"/>
        <v>MOTOR 7 1/2 CV</v>
      </c>
      <c r="Y50" s="18">
        <f t="shared" si="11"/>
        <v>0</v>
      </c>
      <c r="Z50" s="14">
        <f t="shared" si="12"/>
        <v>0</v>
      </c>
    </row>
    <row r="51" spans="1:26" ht="19.5" customHeight="1">
      <c r="A51" s="231" t="s">
        <v>56</v>
      </c>
      <c r="B51" s="232"/>
      <c r="C51" s="232"/>
      <c r="D51" s="216"/>
      <c r="E51" s="216"/>
      <c r="F51" s="216"/>
      <c r="G51" s="22"/>
      <c r="H51" s="22"/>
      <c r="I51" s="22"/>
      <c r="J51" s="22"/>
      <c r="K51" s="22"/>
      <c r="L51" s="22"/>
      <c r="M51" s="23"/>
      <c r="W51" s="14" t="str">
        <f>VLOOKUP(X51,Potências!$A$4:$C$53,3,FALSE)</f>
        <v>Motor elétrico</v>
      </c>
      <c r="X51" s="14" t="str">
        <f t="shared" si="10"/>
        <v>MOTOR 10CV</v>
      </c>
      <c r="Y51" s="18">
        <f t="shared" si="11"/>
        <v>0</v>
      </c>
      <c r="Z51" s="14">
        <f t="shared" si="12"/>
        <v>0</v>
      </c>
    </row>
    <row r="52" spans="1:26" ht="20.25">
      <c r="A52" s="229" t="s">
        <v>132</v>
      </c>
      <c r="B52" s="230"/>
      <c r="C52" s="230"/>
      <c r="D52" s="214"/>
      <c r="E52" s="214"/>
      <c r="F52" s="214"/>
      <c r="G52" s="24"/>
      <c r="H52" s="24"/>
      <c r="I52" s="24"/>
      <c r="J52" s="24"/>
      <c r="K52" s="24"/>
      <c r="L52" s="24"/>
      <c r="M52" s="25"/>
      <c r="W52" s="14" t="str">
        <f>VLOOKUP(X52,Potências!$A$4:$C$53,3,FALSE)</f>
        <v>Motor elétrico</v>
      </c>
      <c r="X52" s="14" t="str">
        <f t="shared" si="10"/>
        <v>MOTOR 15CV</v>
      </c>
      <c r="Y52" s="18">
        <f t="shared" si="11"/>
        <v>0</v>
      </c>
      <c r="Z52" s="14">
        <f t="shared" si="12"/>
        <v>0</v>
      </c>
    </row>
    <row r="53" spans="1:26" ht="15.75">
      <c r="A53" s="215"/>
      <c r="B53" s="215"/>
      <c r="C53" s="215"/>
      <c r="D53" s="228"/>
      <c r="E53" s="228"/>
      <c r="F53" s="228"/>
      <c r="G53" s="22"/>
      <c r="H53" s="22"/>
      <c r="I53" s="22"/>
      <c r="J53" s="22"/>
      <c r="K53" s="22"/>
      <c r="L53" s="22"/>
      <c r="M53" s="22"/>
      <c r="W53" s="14" t="str">
        <f>VLOOKUP(X53,Potências!$A$4:$C$53,3,FALSE)</f>
        <v>Motor elétrico</v>
      </c>
      <c r="X53" s="14" t="str">
        <f t="shared" si="10"/>
        <v>MOTOR 25CV</v>
      </c>
      <c r="Y53" s="18">
        <f t="shared" si="11"/>
        <v>0</v>
      </c>
      <c r="Z53" s="14">
        <f t="shared" si="12"/>
        <v>0</v>
      </c>
    </row>
    <row r="54" spans="23:26" ht="12.75" hidden="1">
      <c r="W54" s="14" t="str">
        <f>VLOOKUP(X54,Potências!$A$4:$C$53,3,FALSE)</f>
        <v>Motor elétrico</v>
      </c>
      <c r="X54" s="14" t="str">
        <f t="shared" si="10"/>
        <v>MOTOR 50CV</v>
      </c>
      <c r="Y54" s="18">
        <f t="shared" si="11"/>
        <v>0</v>
      </c>
      <c r="Z54" s="14">
        <f t="shared" si="12"/>
        <v>0</v>
      </c>
    </row>
    <row r="55" spans="23:26" ht="12.75" hidden="1">
      <c r="W55" s="14" t="str">
        <f>VLOOKUP(X55,Potências!$A$4:$C$53,3,FALSE)</f>
        <v>Motor elétrico</v>
      </c>
      <c r="X55" s="14" t="str">
        <f>G31</f>
        <v>CORTADOR DE GRAMA</v>
      </c>
      <c r="Y55" s="18">
        <f>M31</f>
        <v>0</v>
      </c>
      <c r="Z55" s="14">
        <f>L31</f>
        <v>0</v>
      </c>
    </row>
    <row r="56" spans="23:26" ht="12.75" hidden="1">
      <c r="W56" s="14" t="str">
        <f>VLOOKUP(X56,Potências!$A$4:$C$51,3,FALSE)</f>
        <v>Máquina de Solda</v>
      </c>
      <c r="X56" s="14" t="str">
        <f>G32</f>
        <v>SOLDA RESISTIVA, P/W</v>
      </c>
      <c r="Y56" s="18">
        <f>M32</f>
        <v>0</v>
      </c>
      <c r="Z56" s="14">
        <f>L32</f>
        <v>0</v>
      </c>
    </row>
    <row r="57" spans="23:26" ht="12.75" hidden="1">
      <c r="W57" s="14" t="str">
        <f>VLOOKUP(X57,Potências!$A$4:$C$51,3,FALSE)</f>
        <v>Condicionador de Ar</v>
      </c>
      <c r="X57" s="14" t="str">
        <f>G33</f>
        <v>AR CONDICIONADO CENTRAL, P/W</v>
      </c>
      <c r="Y57" s="18">
        <f>M33</f>
        <v>0</v>
      </c>
      <c r="Z57" s="14">
        <f>L33</f>
        <v>0</v>
      </c>
    </row>
    <row r="58" spans="23:26" ht="12.75" hidden="1">
      <c r="W58" s="14" t="str">
        <f>VLOOKUP(X58,Potências!$A$4:$C$51,3,FALSE)</f>
        <v>Ráio X</v>
      </c>
      <c r="X58" s="14" t="str">
        <f>G34</f>
        <v>RAIO X, P/W</v>
      </c>
      <c r="Y58" s="18">
        <f>M34</f>
        <v>0</v>
      </c>
      <c r="Z58" s="14">
        <f>L34</f>
        <v>0</v>
      </c>
    </row>
    <row r="59" spans="23:26" ht="12.75" hidden="1">
      <c r="W59" s="14" t="str">
        <f>VLOOKUP(X59,Potências!$A$4:$C$51,3,FALSE)</f>
        <v>Iluminação ou Tomadas Coletivas</v>
      </c>
      <c r="X59" s="14" t="str">
        <f>G35</f>
        <v>PREVISÃO DE CARGA, P/W</v>
      </c>
      <c r="Y59" s="18">
        <f>M35</f>
        <v>0</v>
      </c>
      <c r="Z59" s="14">
        <f>L35</f>
        <v>0</v>
      </c>
    </row>
    <row r="60" spans="23:26" ht="12.75" hidden="1">
      <c r="W60" s="14" t="s">
        <v>86</v>
      </c>
      <c r="X60" s="14" t="s">
        <v>90</v>
      </c>
      <c r="Y60" s="18">
        <f>F36+F37+M36+M37</f>
        <v>0</v>
      </c>
      <c r="Z60" s="14">
        <f>E36+E37+L36+L37</f>
        <v>0</v>
      </c>
    </row>
    <row r="61" ht="12.75" hidden="1"/>
    <row r="62" spans="23:25" ht="12.75" hidden="1">
      <c r="W62" s="20" t="s">
        <v>91</v>
      </c>
      <c r="X62" s="20" t="s">
        <v>89</v>
      </c>
      <c r="Y62" s="20" t="s">
        <v>6</v>
      </c>
    </row>
    <row r="63" spans="23:25" ht="12.75" hidden="1">
      <c r="W63" s="21" t="s">
        <v>86</v>
      </c>
      <c r="X63" s="21">
        <f aca="true" t="shared" si="13" ref="X63:X68">SUMIF($W$12:$AB$60,W63,$Y$12:$Y$60)</f>
        <v>0</v>
      </c>
      <c r="Y63" s="21">
        <f aca="true" t="shared" si="14" ref="Y63:Y68">SUMIF($W$12:$Z$60,W63,$Z$12:$Z$60)</f>
        <v>0</v>
      </c>
    </row>
    <row r="64" spans="23:25" ht="12.75" hidden="1">
      <c r="W64" s="21" t="s">
        <v>83</v>
      </c>
      <c r="X64" s="21">
        <f t="shared" si="13"/>
        <v>0</v>
      </c>
      <c r="Y64" s="21">
        <f t="shared" si="14"/>
        <v>0</v>
      </c>
    </row>
    <row r="65" spans="23:25" ht="12.75" hidden="1">
      <c r="W65" s="21" t="s">
        <v>84</v>
      </c>
      <c r="X65" s="54">
        <f>SUMIF($W$12:$AB$60,W65,$Y$12:$Y$60)-Y57</f>
        <v>0</v>
      </c>
      <c r="Y65" s="21">
        <f>SUMIF($W$12:$Z$60,W65,$Z$12:$Z$60)-Z57</f>
        <v>0</v>
      </c>
    </row>
    <row r="66" spans="23:25" ht="12.75" hidden="1">
      <c r="W66" s="21" t="s">
        <v>85</v>
      </c>
      <c r="X66" s="21">
        <f>SUMIF($W$12:$AB$60,W66,$Y$12:$Y$60)</f>
        <v>0</v>
      </c>
      <c r="Y66" s="21">
        <f t="shared" si="14"/>
        <v>0</v>
      </c>
    </row>
    <row r="67" spans="23:25" ht="12.75" hidden="1">
      <c r="W67" s="21" t="s">
        <v>87</v>
      </c>
      <c r="X67" s="21">
        <f t="shared" si="13"/>
        <v>0</v>
      </c>
      <c r="Y67" s="21">
        <f t="shared" si="14"/>
        <v>0</v>
      </c>
    </row>
    <row r="68" spans="23:25" ht="12.75" hidden="1">
      <c r="W68" s="21" t="s">
        <v>88</v>
      </c>
      <c r="X68" s="21">
        <f t="shared" si="13"/>
        <v>0</v>
      </c>
      <c r="Y68" s="21">
        <f t="shared" si="14"/>
        <v>0</v>
      </c>
    </row>
  </sheetData>
  <sheetProtection password="9675" sheet="1" objects="1" scenarios="1"/>
  <mergeCells count="30">
    <mergeCell ref="A1:M1"/>
    <mergeCell ref="A50:C50"/>
    <mergeCell ref="D3:I3"/>
    <mergeCell ref="D4:F4"/>
    <mergeCell ref="H4:I4"/>
    <mergeCell ref="A11:C11"/>
    <mergeCell ref="G11:J11"/>
    <mergeCell ref="A37:C37"/>
    <mergeCell ref="G36:J36"/>
    <mergeCell ref="G37:J37"/>
    <mergeCell ref="A53:C53"/>
    <mergeCell ref="D50:F50"/>
    <mergeCell ref="D51:F51"/>
    <mergeCell ref="D52:F52"/>
    <mergeCell ref="D53:F53"/>
    <mergeCell ref="A52:C52"/>
    <mergeCell ref="A51:C51"/>
    <mergeCell ref="G38:M39"/>
    <mergeCell ref="A38:C39"/>
    <mergeCell ref="D38:F39"/>
    <mergeCell ref="A36:C36"/>
    <mergeCell ref="A41:M41"/>
    <mergeCell ref="D49:M49"/>
    <mergeCell ref="A44:M44"/>
    <mergeCell ref="A45:M45"/>
    <mergeCell ref="A47:M47"/>
    <mergeCell ref="A48:M48"/>
    <mergeCell ref="A46:M46"/>
    <mergeCell ref="A42:M42"/>
    <mergeCell ref="A43:M43"/>
  </mergeCells>
  <dataValidations count="1">
    <dataValidation type="whole" operator="greaterThan" showInputMessage="1" showErrorMessage="1" promptTitle="Cálculo do Tipo de Fornecimento" prompt="Informe a área da Construção" errorTitle="Cálculo do Tipo de Fornecimento" error="É obrigatório informar a Área da Construção !!!" sqref="D5">
      <formula1>0</formula1>
    </dataValidation>
  </dataValidations>
  <printOptions/>
  <pageMargins left="0.75" right="0.75" top="1.02" bottom="1" header="0.492125985" footer="0.492125985"/>
  <pageSetup fitToHeight="12" fitToWidth="1" horizontalDpi="600" verticalDpi="600" orientation="portrait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A1"/>
  <sheetViews>
    <sheetView workbookViewId="0" topLeftCell="A1">
      <selection activeCell="D8" sqref="D8"/>
    </sheetView>
  </sheetViews>
  <sheetFormatPr defaultColWidth="9.140625" defaultRowHeight="12.75"/>
  <sheetData>
    <row r="9" ht="12.75" customHeight="1"/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P38"/>
  <sheetViews>
    <sheetView workbookViewId="0" topLeftCell="A1">
      <selection activeCell="C16" sqref="C16"/>
    </sheetView>
  </sheetViews>
  <sheetFormatPr defaultColWidth="9.14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"/>
  <dimension ref="A1:R80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31.421875" style="0" bestFit="1" customWidth="1"/>
    <col min="3" max="3" width="28.57421875" style="0" bestFit="1" customWidth="1"/>
  </cols>
  <sheetData>
    <row r="1" ht="26.25">
      <c r="A1" s="6" t="str">
        <f>Calc!A1</f>
        <v>Cálculo de Tipo de Fornecimento</v>
      </c>
    </row>
    <row r="2" ht="12.75">
      <c r="A2" t="s">
        <v>47</v>
      </c>
    </row>
    <row r="3" spans="1:18" ht="12.75">
      <c r="A3" s="4" t="s">
        <v>5</v>
      </c>
      <c r="B3" s="4" t="s">
        <v>46</v>
      </c>
      <c r="C3" s="4" t="s">
        <v>82</v>
      </c>
      <c r="D3" s="4" t="s">
        <v>103</v>
      </c>
      <c r="R3" t="s">
        <v>86</v>
      </c>
    </row>
    <row r="4" spans="1:18" ht="12.75">
      <c r="A4" s="5" t="s">
        <v>40</v>
      </c>
      <c r="B4" s="5">
        <v>60</v>
      </c>
      <c r="C4" s="10" t="s">
        <v>86</v>
      </c>
      <c r="D4" s="50"/>
      <c r="E4" s="2"/>
      <c r="G4" s="2"/>
      <c r="H4" s="2"/>
      <c r="R4" t="s">
        <v>83</v>
      </c>
    </row>
    <row r="5" spans="1:18" ht="12.75">
      <c r="A5" s="5" t="s">
        <v>41</v>
      </c>
      <c r="B5" s="5">
        <v>100</v>
      </c>
      <c r="C5" s="10" t="s">
        <v>86</v>
      </c>
      <c r="D5" s="50"/>
      <c r="E5" s="2"/>
      <c r="G5" s="2"/>
      <c r="H5" s="2"/>
      <c r="R5" t="s">
        <v>84</v>
      </c>
    </row>
    <row r="6" spans="1:18" ht="12.75">
      <c r="A6" s="5" t="s">
        <v>42</v>
      </c>
      <c r="B6" s="5">
        <v>20</v>
      </c>
      <c r="C6" s="10" t="s">
        <v>86</v>
      </c>
      <c r="D6" s="50"/>
      <c r="E6" s="2"/>
      <c r="G6" s="2"/>
      <c r="H6" s="2"/>
      <c r="R6" t="s">
        <v>85</v>
      </c>
    </row>
    <row r="7" spans="1:18" ht="12.75">
      <c r="A7" s="5" t="s">
        <v>43</v>
      </c>
      <c r="B7" s="5">
        <v>25</v>
      </c>
      <c r="C7" s="10" t="s">
        <v>86</v>
      </c>
      <c r="D7" s="50"/>
      <c r="E7" s="2"/>
      <c r="G7" s="2"/>
      <c r="H7" s="2"/>
      <c r="R7" t="s">
        <v>87</v>
      </c>
    </row>
    <row r="8" spans="1:18" ht="12.75">
      <c r="A8" s="5" t="s">
        <v>45</v>
      </c>
      <c r="B8" s="5">
        <v>32</v>
      </c>
      <c r="C8" s="10" t="s">
        <v>86</v>
      </c>
      <c r="D8" s="50"/>
      <c r="E8" s="2"/>
      <c r="G8" s="2"/>
      <c r="H8" s="2"/>
      <c r="R8" t="s">
        <v>88</v>
      </c>
    </row>
    <row r="9" spans="1:8" ht="12.75">
      <c r="A9" s="5" t="s">
        <v>44</v>
      </c>
      <c r="B9" s="5">
        <v>40</v>
      </c>
      <c r="C9" s="10" t="s">
        <v>86</v>
      </c>
      <c r="D9" s="50"/>
      <c r="E9" s="2"/>
      <c r="G9" s="2"/>
      <c r="H9" s="2"/>
    </row>
    <row r="10" spans="1:8" ht="12.75">
      <c r="A10" s="5" t="s">
        <v>7</v>
      </c>
      <c r="B10" s="5">
        <v>5000</v>
      </c>
      <c r="C10" s="10" t="s">
        <v>83</v>
      </c>
      <c r="D10" s="50"/>
      <c r="E10" s="2"/>
      <c r="G10" s="2"/>
      <c r="H10" s="2"/>
    </row>
    <row r="11" spans="1:8" ht="12.75">
      <c r="A11" s="5" t="s">
        <v>8</v>
      </c>
      <c r="B11" s="5">
        <v>90</v>
      </c>
      <c r="C11" s="10" t="s">
        <v>86</v>
      </c>
      <c r="D11" s="50"/>
      <c r="E11" s="2"/>
      <c r="G11" s="2"/>
      <c r="H11" s="2"/>
    </row>
    <row r="12" spans="1:8" ht="12.75">
      <c r="A12" s="5" t="s">
        <v>48</v>
      </c>
      <c r="B12" s="5">
        <v>300</v>
      </c>
      <c r="C12" s="10" t="s">
        <v>86</v>
      </c>
      <c r="D12" s="50"/>
      <c r="E12" s="2"/>
      <c r="G12" s="2"/>
      <c r="H12" s="2"/>
    </row>
    <row r="13" spans="1:8" ht="12.75">
      <c r="A13" s="5" t="s">
        <v>9</v>
      </c>
      <c r="B13" s="5">
        <v>1000</v>
      </c>
      <c r="C13" s="10" t="s">
        <v>86</v>
      </c>
      <c r="D13" s="50"/>
      <c r="E13" s="2"/>
      <c r="G13" s="2"/>
      <c r="H13" s="2"/>
    </row>
    <row r="14" spans="1:8" ht="12.75">
      <c r="A14" s="5" t="s">
        <v>10</v>
      </c>
      <c r="B14" s="5">
        <v>1000</v>
      </c>
      <c r="C14" s="10" t="s">
        <v>83</v>
      </c>
      <c r="D14" s="50"/>
      <c r="E14" s="2"/>
      <c r="G14" s="2"/>
      <c r="H14" s="2"/>
    </row>
    <row r="15" spans="1:8" ht="12.75">
      <c r="A15" s="5" t="s">
        <v>79</v>
      </c>
      <c r="B15" s="5">
        <v>1500</v>
      </c>
      <c r="C15" s="10" t="s">
        <v>83</v>
      </c>
      <c r="D15" s="50"/>
      <c r="E15" s="2"/>
      <c r="G15" s="2"/>
      <c r="H15" s="2"/>
    </row>
    <row r="16" spans="1:8" ht="12.75">
      <c r="A16" s="5" t="s">
        <v>11</v>
      </c>
      <c r="B16" s="5">
        <v>350</v>
      </c>
      <c r="C16" s="10" t="s">
        <v>86</v>
      </c>
      <c r="D16" s="50"/>
      <c r="E16" s="2"/>
      <c r="G16" s="2"/>
      <c r="H16" s="2"/>
    </row>
    <row r="17" spans="1:8" ht="12.75">
      <c r="A17" s="5" t="s">
        <v>12</v>
      </c>
      <c r="B17" s="5">
        <v>400</v>
      </c>
      <c r="C17" s="10" t="s">
        <v>86</v>
      </c>
      <c r="D17" s="50"/>
      <c r="E17" s="2"/>
      <c r="G17" s="2"/>
      <c r="H17" s="2"/>
    </row>
    <row r="18" spans="1:8" ht="12.75">
      <c r="A18" s="5" t="s">
        <v>13</v>
      </c>
      <c r="B18" s="5">
        <v>1000</v>
      </c>
      <c r="C18" s="10" t="s">
        <v>83</v>
      </c>
      <c r="D18" s="50"/>
      <c r="E18" s="2"/>
      <c r="G18" s="2"/>
      <c r="H18" s="2"/>
    </row>
    <row r="19" spans="1:8" ht="12.75">
      <c r="A19" s="5" t="s">
        <v>14</v>
      </c>
      <c r="B19" s="5">
        <v>100</v>
      </c>
      <c r="C19" s="10" t="s">
        <v>86</v>
      </c>
      <c r="D19" s="50"/>
      <c r="E19" s="2"/>
      <c r="G19" s="2"/>
      <c r="H19" s="2"/>
    </row>
    <row r="20" spans="1:8" ht="12.75">
      <c r="A20" s="5" t="s">
        <v>15</v>
      </c>
      <c r="B20" s="5">
        <v>3500</v>
      </c>
      <c r="C20" s="10" t="s">
        <v>83</v>
      </c>
      <c r="D20" s="50"/>
      <c r="E20" s="2"/>
      <c r="G20" s="2"/>
      <c r="H20" s="2"/>
    </row>
    <row r="21" spans="1:4" ht="12.75">
      <c r="A21" s="5" t="s">
        <v>16</v>
      </c>
      <c r="B21" s="5">
        <v>100</v>
      </c>
      <c r="C21" s="10" t="s">
        <v>86</v>
      </c>
      <c r="D21" s="8"/>
    </row>
    <row r="22" spans="1:4" ht="12.75">
      <c r="A22" s="5" t="s">
        <v>18</v>
      </c>
      <c r="B22" s="5">
        <v>1150</v>
      </c>
      <c r="C22" s="10" t="s">
        <v>84</v>
      </c>
      <c r="D22" s="49">
        <v>2</v>
      </c>
    </row>
    <row r="23" spans="1:4" ht="12.75">
      <c r="A23" s="5" t="s">
        <v>17</v>
      </c>
      <c r="B23" s="5">
        <v>1300</v>
      </c>
      <c r="C23" s="10" t="s">
        <v>84</v>
      </c>
      <c r="D23" s="49">
        <v>3</v>
      </c>
    </row>
    <row r="24" spans="1:4" ht="12.75">
      <c r="A24" s="5" t="s">
        <v>78</v>
      </c>
      <c r="B24" s="5">
        <v>1500</v>
      </c>
      <c r="C24" s="10" t="s">
        <v>83</v>
      </c>
      <c r="D24" s="8"/>
    </row>
    <row r="25" spans="1:4" ht="12.75">
      <c r="A25" s="5" t="s">
        <v>19</v>
      </c>
      <c r="B25" s="5">
        <v>200</v>
      </c>
      <c r="C25" s="10" t="s">
        <v>86</v>
      </c>
      <c r="D25" s="8"/>
    </row>
    <row r="26" spans="1:4" ht="12.75">
      <c r="A26" s="5" t="s">
        <v>20</v>
      </c>
      <c r="B26" s="5">
        <v>1000</v>
      </c>
      <c r="C26" s="10" t="s">
        <v>86</v>
      </c>
      <c r="D26" s="8"/>
    </row>
    <row r="27" spans="1:4" ht="12.75">
      <c r="A27" s="5" t="s">
        <v>21</v>
      </c>
      <c r="B27" s="7">
        <v>3500</v>
      </c>
      <c r="C27" s="10" t="s">
        <v>83</v>
      </c>
      <c r="D27" s="8"/>
    </row>
    <row r="28" spans="1:4" ht="12.75">
      <c r="A28" s="5" t="s">
        <v>22</v>
      </c>
      <c r="B28" s="7">
        <v>500</v>
      </c>
      <c r="C28" s="10" t="s">
        <v>86</v>
      </c>
      <c r="D28" s="8"/>
    </row>
    <row r="29" spans="1:4" ht="12.75">
      <c r="A29" s="5" t="s">
        <v>23</v>
      </c>
      <c r="B29" s="9">
        <v>1300</v>
      </c>
      <c r="C29" s="10" t="s">
        <v>83</v>
      </c>
      <c r="D29" s="8"/>
    </row>
    <row r="30" spans="1:4" ht="12.75">
      <c r="A30" s="5" t="s">
        <v>24</v>
      </c>
      <c r="B30" s="9">
        <v>1500</v>
      </c>
      <c r="C30" s="10" t="s">
        <v>83</v>
      </c>
      <c r="D30" s="8"/>
    </row>
    <row r="31" spans="1:4" ht="12.75">
      <c r="A31" s="5" t="s">
        <v>25</v>
      </c>
      <c r="B31" s="9">
        <v>3500</v>
      </c>
      <c r="C31" s="10" t="s">
        <v>83</v>
      </c>
      <c r="D31" s="8"/>
    </row>
    <row r="32" spans="1:4" ht="12.75">
      <c r="A32" s="5" t="s">
        <v>26</v>
      </c>
      <c r="B32" s="9">
        <v>800</v>
      </c>
      <c r="C32" s="10" t="s">
        <v>83</v>
      </c>
      <c r="D32" s="8"/>
    </row>
    <row r="33" spans="1:4" ht="12.75">
      <c r="A33" s="5" t="s">
        <v>27</v>
      </c>
      <c r="B33" s="7">
        <v>100</v>
      </c>
      <c r="C33" s="10" t="s">
        <v>86</v>
      </c>
      <c r="D33" s="8"/>
    </row>
    <row r="34" spans="1:4" ht="12.75">
      <c r="A34" s="5" t="s">
        <v>28</v>
      </c>
      <c r="B34" s="3">
        <f>0.5*736</f>
        <v>368</v>
      </c>
      <c r="C34" s="10" t="s">
        <v>85</v>
      </c>
      <c r="D34" s="8"/>
    </row>
    <row r="35" spans="1:4" ht="12.75">
      <c r="A35" s="5" t="s">
        <v>29</v>
      </c>
      <c r="B35" s="3">
        <f>(3/4)*736</f>
        <v>552</v>
      </c>
      <c r="C35" s="10" t="s">
        <v>85</v>
      </c>
      <c r="D35" s="8"/>
    </row>
    <row r="36" spans="1:4" ht="12.75">
      <c r="A36" s="5" t="s">
        <v>30</v>
      </c>
      <c r="B36" s="3">
        <v>736</v>
      </c>
      <c r="C36" s="10" t="s">
        <v>85</v>
      </c>
      <c r="D36" s="8"/>
    </row>
    <row r="37" spans="1:4" ht="12.75">
      <c r="A37" s="5" t="s">
        <v>31</v>
      </c>
      <c r="B37" s="3">
        <f>3*736</f>
        <v>2208</v>
      </c>
      <c r="C37" s="10" t="s">
        <v>85</v>
      </c>
      <c r="D37" s="8"/>
    </row>
    <row r="38" spans="1:4" ht="12.75">
      <c r="A38" s="5" t="s">
        <v>32</v>
      </c>
      <c r="B38" s="3">
        <f>5*736</f>
        <v>3680</v>
      </c>
      <c r="C38" s="10" t="s">
        <v>85</v>
      </c>
      <c r="D38" s="8"/>
    </row>
    <row r="39" spans="1:4" ht="12.75">
      <c r="A39" s="5" t="s">
        <v>149</v>
      </c>
      <c r="B39" s="3">
        <f>7.5*736</f>
        <v>5520</v>
      </c>
      <c r="C39" s="10" t="s">
        <v>85</v>
      </c>
      <c r="D39" s="8"/>
    </row>
    <row r="40" spans="1:4" ht="12.75">
      <c r="A40" s="5" t="s">
        <v>33</v>
      </c>
      <c r="B40" s="3">
        <f>10*736</f>
        <v>7360</v>
      </c>
      <c r="C40" s="10" t="s">
        <v>85</v>
      </c>
      <c r="D40" s="8"/>
    </row>
    <row r="41" spans="1:4" ht="12.75">
      <c r="A41" s="5" t="s">
        <v>34</v>
      </c>
      <c r="B41" s="3">
        <f>15*736</f>
        <v>11040</v>
      </c>
      <c r="C41" s="10" t="s">
        <v>85</v>
      </c>
      <c r="D41" s="8"/>
    </row>
    <row r="42" spans="1:4" ht="12.75">
      <c r="A42" s="5" t="s">
        <v>35</v>
      </c>
      <c r="B42" s="3">
        <f>25*736</f>
        <v>18400</v>
      </c>
      <c r="C42" s="10" t="s">
        <v>85</v>
      </c>
      <c r="D42" s="8"/>
    </row>
    <row r="43" spans="1:4" ht="12.75">
      <c r="A43" s="5" t="s">
        <v>36</v>
      </c>
      <c r="B43" s="3">
        <f>50*736</f>
        <v>36800</v>
      </c>
      <c r="C43" s="10" t="s">
        <v>85</v>
      </c>
      <c r="D43" s="8"/>
    </row>
    <row r="44" spans="1:4" ht="12.75">
      <c r="A44" s="5" t="s">
        <v>37</v>
      </c>
      <c r="B44" s="3">
        <f>100*736</f>
        <v>73600</v>
      </c>
      <c r="C44" s="10" t="s">
        <v>85</v>
      </c>
      <c r="D44" s="8"/>
    </row>
    <row r="45" spans="1:4" ht="12.75">
      <c r="A45" s="5" t="s">
        <v>38</v>
      </c>
      <c r="B45" s="3">
        <f>150*736</f>
        <v>110400</v>
      </c>
      <c r="C45" s="10" t="s">
        <v>85</v>
      </c>
      <c r="D45" s="8"/>
    </row>
    <row r="46" spans="1:4" ht="12.75">
      <c r="A46" s="5" t="s">
        <v>39</v>
      </c>
      <c r="B46" s="3">
        <v>736</v>
      </c>
      <c r="C46" s="10" t="s">
        <v>85</v>
      </c>
      <c r="D46" s="8"/>
    </row>
    <row r="47" spans="1:4" ht="12.75">
      <c r="A47" s="5" t="s">
        <v>49</v>
      </c>
      <c r="B47" s="3">
        <v>1</v>
      </c>
      <c r="C47" s="10" t="s">
        <v>87</v>
      </c>
      <c r="D47" s="8"/>
    </row>
    <row r="48" spans="1:4" ht="12.75">
      <c r="A48" s="5" t="s">
        <v>50</v>
      </c>
      <c r="B48" s="3">
        <v>1</v>
      </c>
      <c r="C48" s="10" t="s">
        <v>84</v>
      </c>
      <c r="D48" s="8"/>
    </row>
    <row r="49" spans="1:4" ht="12.75">
      <c r="A49" s="5" t="s">
        <v>51</v>
      </c>
      <c r="B49" s="3">
        <v>1</v>
      </c>
      <c r="C49" s="10" t="s">
        <v>88</v>
      </c>
      <c r="D49" s="8"/>
    </row>
    <row r="50" spans="1:4" ht="12.75">
      <c r="A50" s="5" t="s">
        <v>54</v>
      </c>
      <c r="B50" s="3">
        <v>1</v>
      </c>
      <c r="C50" s="10" t="s">
        <v>86</v>
      </c>
      <c r="D50" s="8"/>
    </row>
    <row r="51" spans="1:4" ht="12.75">
      <c r="A51" s="5" t="s">
        <v>59</v>
      </c>
      <c r="B51" s="9">
        <v>400</v>
      </c>
      <c r="C51" s="10" t="s">
        <v>86</v>
      </c>
      <c r="D51" s="8"/>
    </row>
    <row r="52" spans="1:4" ht="12.75">
      <c r="A52" s="5" t="s">
        <v>206</v>
      </c>
      <c r="B52" s="3">
        <v>1104</v>
      </c>
      <c r="C52" s="10" t="s">
        <v>85</v>
      </c>
      <c r="D52" s="8"/>
    </row>
    <row r="53" spans="1:4" ht="12.75">
      <c r="A53" s="5" t="s">
        <v>205</v>
      </c>
      <c r="B53" s="3">
        <v>1472</v>
      </c>
      <c r="C53" s="10" t="s">
        <v>85</v>
      </c>
      <c r="D53" s="8"/>
    </row>
    <row r="54" spans="1:4" ht="12.75">
      <c r="A54" s="5"/>
      <c r="B54" s="3"/>
      <c r="C54" s="10"/>
      <c r="D54" s="8"/>
    </row>
    <row r="55" spans="1:4" ht="12.75">
      <c r="A55" s="5"/>
      <c r="B55" s="3"/>
      <c r="C55" s="10"/>
      <c r="D55" s="8"/>
    </row>
    <row r="56" spans="1:4" ht="12.75">
      <c r="A56" s="5"/>
      <c r="B56" s="3"/>
      <c r="C56" s="10"/>
      <c r="D56" s="8"/>
    </row>
    <row r="57" spans="1:4" ht="12.75">
      <c r="A57" s="5"/>
      <c r="B57" s="3"/>
      <c r="C57" s="10"/>
      <c r="D57" s="8"/>
    </row>
    <row r="58" spans="1:4" ht="12.75">
      <c r="A58" s="5"/>
      <c r="B58" s="3"/>
      <c r="C58" s="10"/>
      <c r="D58" s="8"/>
    </row>
    <row r="59" spans="1:4" ht="12.75">
      <c r="A59" s="5"/>
      <c r="B59" s="3"/>
      <c r="C59" s="10"/>
      <c r="D59" s="8"/>
    </row>
    <row r="60" spans="1:4" ht="12.75">
      <c r="A60" s="5"/>
      <c r="B60" s="3"/>
      <c r="C60" s="10"/>
      <c r="D60" s="8"/>
    </row>
    <row r="61" spans="1:4" ht="12.75">
      <c r="A61" s="5"/>
      <c r="B61" s="3"/>
      <c r="C61" s="10"/>
      <c r="D61" s="8"/>
    </row>
    <row r="62" spans="1:4" ht="12.75">
      <c r="A62" s="5"/>
      <c r="B62" s="3"/>
      <c r="C62" s="10"/>
      <c r="D62" s="8"/>
    </row>
    <row r="63" spans="1:4" ht="12.75">
      <c r="A63" s="5"/>
      <c r="B63" s="3"/>
      <c r="C63" s="10"/>
      <c r="D63" s="8"/>
    </row>
    <row r="64" spans="1:4" ht="12.75">
      <c r="A64" s="5"/>
      <c r="B64" s="3"/>
      <c r="C64" s="10"/>
      <c r="D64" s="8"/>
    </row>
    <row r="65" spans="1:4" ht="12.75">
      <c r="A65" s="5"/>
      <c r="B65" s="3"/>
      <c r="C65" s="10"/>
      <c r="D65" s="8"/>
    </row>
    <row r="66" spans="1:4" ht="12.75">
      <c r="A66" s="5"/>
      <c r="B66" s="3"/>
      <c r="C66" s="10"/>
      <c r="D66" s="8"/>
    </row>
    <row r="67" spans="1:4" ht="12.75">
      <c r="A67" s="5"/>
      <c r="B67" s="3"/>
      <c r="C67" s="10"/>
      <c r="D67" s="8"/>
    </row>
    <row r="68" spans="1:4" ht="12.75">
      <c r="A68" s="5"/>
      <c r="B68" s="3"/>
      <c r="C68" s="10"/>
      <c r="D68" s="8"/>
    </row>
    <row r="69" spans="1:4" ht="12.75">
      <c r="A69" s="5"/>
      <c r="B69" s="3"/>
      <c r="C69" s="10"/>
      <c r="D69" s="8"/>
    </row>
    <row r="70" spans="1:4" ht="12.75">
      <c r="A70" s="5"/>
      <c r="B70" s="3"/>
      <c r="C70" s="10"/>
      <c r="D70" s="8"/>
    </row>
    <row r="71" spans="1:4" ht="12.75">
      <c r="A71" s="5"/>
      <c r="B71" s="3"/>
      <c r="C71" s="10"/>
      <c r="D71" s="8"/>
    </row>
    <row r="72" spans="1:4" ht="12.75">
      <c r="A72" s="5"/>
      <c r="B72" s="3"/>
      <c r="C72" s="10"/>
      <c r="D72" s="8"/>
    </row>
    <row r="73" spans="1:4" ht="12.75">
      <c r="A73" s="5"/>
      <c r="B73" s="3"/>
      <c r="C73" s="10"/>
      <c r="D73" s="8"/>
    </row>
    <row r="74" spans="1:4" ht="12.75">
      <c r="A74" s="5"/>
      <c r="B74" s="3"/>
      <c r="C74" s="10"/>
      <c r="D74" s="8"/>
    </row>
    <row r="75" spans="1:4" ht="12.75">
      <c r="A75" s="5"/>
      <c r="B75" s="3"/>
      <c r="C75" s="10"/>
      <c r="D75" s="8"/>
    </row>
    <row r="76" spans="1:4" ht="12.75">
      <c r="A76" s="5"/>
      <c r="B76" s="3"/>
      <c r="C76" s="10"/>
      <c r="D76" s="8"/>
    </row>
    <row r="77" spans="1:4" ht="12.75">
      <c r="A77" s="5"/>
      <c r="B77" s="3"/>
      <c r="C77" s="10"/>
      <c r="D77" s="8"/>
    </row>
    <row r="78" spans="1:4" ht="12.75">
      <c r="A78" s="5"/>
      <c r="B78" s="3"/>
      <c r="C78" s="10"/>
      <c r="D78" s="8"/>
    </row>
    <row r="79" spans="1:4" ht="12.75">
      <c r="A79" s="5"/>
      <c r="B79" s="3"/>
      <c r="C79" s="10"/>
      <c r="D79" s="8"/>
    </row>
    <row r="80" spans="1:4" ht="12.75">
      <c r="A80" s="5"/>
      <c r="B80" s="3"/>
      <c r="C80" s="10"/>
      <c r="D80" s="8"/>
    </row>
  </sheetData>
  <dataValidations count="1">
    <dataValidation type="list" showInputMessage="1" showErrorMessage="1" promptTitle="Cálculo de Tipo de Fornecimento" prompt="Selecione o tipo de equipamento" errorTitle="Cálculo de Tipo de Fornecimento" error="Selecione um tipo de equipamento válido" sqref="C4:C53">
      <formula1>$R$3:$R$8</formula1>
    </dataValidation>
  </dataValidation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DU61"/>
  <sheetViews>
    <sheetView showGridLines="0" zoomScale="90" zoomScaleNormal="90" workbookViewId="0" topLeftCell="A1">
      <selection activeCell="F4" sqref="F4:N4"/>
    </sheetView>
  </sheetViews>
  <sheetFormatPr defaultColWidth="9.140625" defaultRowHeight="0" customHeight="1"/>
  <cols>
    <col min="1" max="1" width="1.7109375" style="103" customWidth="1"/>
    <col min="2" max="2" width="2.28125" style="103" customWidth="1"/>
    <col min="3" max="3" width="0.42578125" style="103" customWidth="1"/>
    <col min="4" max="4" width="3.00390625" style="103" customWidth="1"/>
    <col min="5" max="5" width="8.421875" style="103" customWidth="1"/>
    <col min="6" max="6" width="16.7109375" style="103" customWidth="1"/>
    <col min="7" max="7" width="15.00390625" style="103" customWidth="1"/>
    <col min="8" max="8" width="3.00390625" style="103" bestFit="1" customWidth="1"/>
    <col min="9" max="9" width="5.28125" style="103" customWidth="1"/>
    <col min="10" max="10" width="4.8515625" style="103" customWidth="1"/>
    <col min="11" max="11" width="5.28125" style="103" customWidth="1"/>
    <col min="12" max="12" width="7.28125" style="103" customWidth="1"/>
    <col min="13" max="13" width="5.7109375" style="103" customWidth="1"/>
    <col min="14" max="14" width="6.140625" style="103" customWidth="1"/>
    <col min="15" max="15" width="7.28125" style="103" customWidth="1"/>
    <col min="16" max="16" width="12.7109375" style="103" bestFit="1" customWidth="1"/>
    <col min="17" max="17" width="7.28125" style="103" customWidth="1"/>
    <col min="18" max="18" width="7.7109375" style="103" bestFit="1" customWidth="1"/>
    <col min="19" max="19" width="7.8515625" style="103" customWidth="1"/>
    <col min="20" max="20" width="8.28125" style="103" hidden="1" customWidth="1"/>
    <col min="21" max="21" width="25.28125" style="103" hidden="1" customWidth="1"/>
    <col min="22" max="24" width="3.57421875" style="103" hidden="1" customWidth="1"/>
    <col min="25" max="27" width="0.13671875" style="103" hidden="1" customWidth="1"/>
    <col min="28" max="84" width="5.7109375" style="103" hidden="1" customWidth="1"/>
    <col min="85" max="115" width="0.13671875" style="103" customWidth="1"/>
    <col min="116" max="116" width="29.28125" style="103" customWidth="1"/>
    <col min="117" max="118" width="0.13671875" style="103" customWidth="1"/>
    <col min="119" max="119" width="11.8515625" style="103" customWidth="1"/>
    <col min="120" max="123" width="0.13671875" style="103" customWidth="1"/>
    <col min="124" max="124" width="32.140625" style="103" bestFit="1" customWidth="1"/>
    <col min="125" max="125" width="10.7109375" style="103" customWidth="1"/>
    <col min="126" max="16384" width="0.13671875" style="103" customWidth="1"/>
  </cols>
  <sheetData>
    <row r="1" spans="1:19" ht="3.75" customHeight="1">
      <c r="A1" s="283"/>
      <c r="B1" s="233" t="s">
        <v>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72"/>
    </row>
    <row r="2" spans="1:19" ht="43.5" customHeight="1" thickBot="1">
      <c r="A2" s="28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72"/>
    </row>
    <row r="3" spans="1:21" ht="7.5" customHeight="1" thickBot="1" thickTop="1">
      <c r="A3" s="283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72"/>
      <c r="T3" s="104"/>
      <c r="U3" s="105" t="s">
        <v>155</v>
      </c>
    </row>
    <row r="4" spans="1:31" ht="12.75" customHeight="1" thickTop="1">
      <c r="A4" s="283"/>
      <c r="B4" s="291" t="s">
        <v>172</v>
      </c>
      <c r="C4" s="292"/>
      <c r="D4" s="292"/>
      <c r="E4" s="292"/>
      <c r="F4" s="244"/>
      <c r="G4" s="244"/>
      <c r="H4" s="244"/>
      <c r="I4" s="244"/>
      <c r="J4" s="244"/>
      <c r="K4" s="244"/>
      <c r="L4" s="244"/>
      <c r="M4" s="244"/>
      <c r="N4" s="244"/>
      <c r="O4" s="206" t="s">
        <v>58</v>
      </c>
      <c r="P4" s="245"/>
      <c r="Q4" s="245"/>
      <c r="R4" s="119"/>
      <c r="S4" s="272"/>
      <c r="T4" s="106">
        <f>Tabelas!B87</f>
        <v>1</v>
      </c>
      <c r="U4" s="107" t="str">
        <f>Tabelas!A87</f>
        <v>Alambique</v>
      </c>
      <c r="AE4" s="103">
        <v>1</v>
      </c>
    </row>
    <row r="5" spans="1:31" ht="12.75" customHeight="1">
      <c r="A5" s="283"/>
      <c r="B5" s="293" t="s">
        <v>173</v>
      </c>
      <c r="C5" s="294"/>
      <c r="D5" s="294"/>
      <c r="E5" s="294"/>
      <c r="F5" s="295"/>
      <c r="G5" s="295"/>
      <c r="H5" s="295"/>
      <c r="I5" s="295"/>
      <c r="J5" s="295"/>
      <c r="K5" s="295"/>
      <c r="L5" s="296"/>
      <c r="M5" s="273" t="s">
        <v>174</v>
      </c>
      <c r="N5" s="273"/>
      <c r="O5" s="251"/>
      <c r="P5" s="251"/>
      <c r="Q5" s="251"/>
      <c r="R5" s="120"/>
      <c r="S5" s="272"/>
      <c r="T5" s="106">
        <f>Tabelas!B88</f>
        <v>2</v>
      </c>
      <c r="U5" s="107" t="str">
        <f>Tabelas!A88</f>
        <v>Armazém</v>
      </c>
      <c r="AE5" s="103">
        <v>2</v>
      </c>
    </row>
    <row r="6" spans="1:31" ht="12.75" customHeight="1">
      <c r="A6" s="283"/>
      <c r="B6" s="293" t="s">
        <v>175</v>
      </c>
      <c r="C6" s="294"/>
      <c r="D6" s="294"/>
      <c r="E6" s="294"/>
      <c r="F6" s="302"/>
      <c r="G6" s="302"/>
      <c r="H6" s="297" t="s">
        <v>176</v>
      </c>
      <c r="I6" s="297"/>
      <c r="J6" s="115"/>
      <c r="K6" s="118"/>
      <c r="L6" s="127">
        <f>IF(F6="","",VLOOKUP(F6,Tabelas!A87:B98,2,FALSE))</f>
      </c>
      <c r="M6" s="329" t="s">
        <v>177</v>
      </c>
      <c r="N6" s="329"/>
      <c r="O6" s="330"/>
      <c r="P6" s="178" t="b">
        <v>1</v>
      </c>
      <c r="Q6" s="108"/>
      <c r="R6" s="121"/>
      <c r="S6" s="272"/>
      <c r="T6" s="106">
        <f>Tabelas!B89</f>
        <v>3</v>
      </c>
      <c r="U6" s="107" t="str">
        <f>Tabelas!A89</f>
        <v>Atividades Agrícolas Diversas (Residências)</v>
      </c>
      <c r="AE6" s="103">
        <v>3</v>
      </c>
    </row>
    <row r="7" spans="1:21" ht="4.5" customHeight="1" thickBot="1">
      <c r="A7" s="283"/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8"/>
      <c r="S7" s="272"/>
      <c r="T7" s="106">
        <f>Tabelas!B90</f>
        <v>4</v>
      </c>
      <c r="U7" s="107" t="str">
        <f>Tabelas!A90</f>
        <v>Aviário</v>
      </c>
    </row>
    <row r="8" spans="1:21" ht="15.75" customHeight="1" thickTop="1">
      <c r="A8" s="283"/>
      <c r="B8" s="298" t="s">
        <v>178</v>
      </c>
      <c r="C8" s="299"/>
      <c r="D8" s="246" t="s">
        <v>179</v>
      </c>
      <c r="E8" s="252" t="s">
        <v>180</v>
      </c>
      <c r="F8" s="252"/>
      <c r="G8" s="252"/>
      <c r="H8" s="274" t="s">
        <v>201</v>
      </c>
      <c r="I8" s="252" t="s">
        <v>181</v>
      </c>
      <c r="J8" s="252"/>
      <c r="K8" s="252"/>
      <c r="L8" s="252"/>
      <c r="M8" s="252" t="s">
        <v>182</v>
      </c>
      <c r="N8" s="252"/>
      <c r="O8" s="253" t="s">
        <v>66</v>
      </c>
      <c r="P8" s="253"/>
      <c r="Q8" s="253"/>
      <c r="R8" s="254"/>
      <c r="S8" s="272"/>
      <c r="T8" s="106">
        <f>Tabelas!B91</f>
        <v>5</v>
      </c>
      <c r="U8" s="107" t="str">
        <f>Tabelas!A91</f>
        <v>Engenho</v>
      </c>
    </row>
    <row r="9" spans="1:21" ht="11.25" customHeight="1">
      <c r="A9" s="283"/>
      <c r="B9" s="300"/>
      <c r="C9" s="247"/>
      <c r="D9" s="247"/>
      <c r="E9" s="324"/>
      <c r="F9" s="324"/>
      <c r="G9" s="324"/>
      <c r="H9" s="275"/>
      <c r="I9" s="332" t="s">
        <v>183</v>
      </c>
      <c r="J9" s="249" t="s">
        <v>184</v>
      </c>
      <c r="K9" s="249" t="s">
        <v>185</v>
      </c>
      <c r="L9" s="332" t="s">
        <v>186</v>
      </c>
      <c r="M9" s="324" t="s">
        <v>184</v>
      </c>
      <c r="N9" s="324" t="s">
        <v>185</v>
      </c>
      <c r="O9" s="324" t="s">
        <v>187</v>
      </c>
      <c r="P9" s="324"/>
      <c r="Q9" s="324" t="s">
        <v>188</v>
      </c>
      <c r="R9" s="331"/>
      <c r="S9" s="272"/>
      <c r="T9" s="106">
        <f>Tabelas!B92</f>
        <v>6</v>
      </c>
      <c r="U9" s="107" t="str">
        <f>Tabelas!A92</f>
        <v>Escola</v>
      </c>
    </row>
    <row r="10" spans="1:21" ht="12.75" customHeight="1" thickBot="1">
      <c r="A10" s="283"/>
      <c r="B10" s="301"/>
      <c r="C10" s="248"/>
      <c r="D10" s="248"/>
      <c r="E10" s="325"/>
      <c r="F10" s="325"/>
      <c r="G10" s="325"/>
      <c r="H10" s="276"/>
      <c r="I10" s="333"/>
      <c r="J10" s="250"/>
      <c r="K10" s="250"/>
      <c r="L10" s="333"/>
      <c r="M10" s="325"/>
      <c r="N10" s="325"/>
      <c r="O10" s="116" t="s">
        <v>104</v>
      </c>
      <c r="P10" s="116" t="s">
        <v>186</v>
      </c>
      <c r="Q10" s="116" t="s">
        <v>104</v>
      </c>
      <c r="R10" s="117" t="s">
        <v>186</v>
      </c>
      <c r="S10" s="272"/>
      <c r="T10" s="106">
        <f>Tabelas!B93</f>
        <v>7</v>
      </c>
      <c r="U10" s="107" t="str">
        <f>Tabelas!A93</f>
        <v>Igreja</v>
      </c>
    </row>
    <row r="11" spans="1:125" ht="12.75" customHeight="1" thickBot="1">
      <c r="A11" s="283"/>
      <c r="B11" s="270" t="s">
        <v>189</v>
      </c>
      <c r="C11" s="271"/>
      <c r="D11" s="184"/>
      <c r="E11" s="321"/>
      <c r="F11" s="322"/>
      <c r="G11" s="323"/>
      <c r="H11" s="185"/>
      <c r="I11" s="186"/>
      <c r="J11" s="128">
        <f>IF(M11,VLOOKUP($I11,Tabelas!$E$88:$G$107,IF($H11=3,2,3),FALSE),0)</f>
        <v>0</v>
      </c>
      <c r="K11" s="128">
        <f>IF(N11,VLOOKUP($I11,Tabelas!$E$88:$G$107,IF($H11=3,2,3),FALSE),0)</f>
        <v>0</v>
      </c>
      <c r="L11" s="175">
        <f>IF(E11&lt;&gt;"",IF(I11="",VLOOKUP(E11,$DT$12:$DU$61,2,FALSE),""),"")</f>
      </c>
      <c r="M11" s="126" t="b">
        <v>0</v>
      </c>
      <c r="N11" s="126" t="b">
        <v>0</v>
      </c>
      <c r="O11" s="131">
        <f>D11*J11</f>
        <v>0</v>
      </c>
      <c r="P11" s="131">
        <f>IF(I11&lt;&gt;"","",IF(M11,D11*L11,0))</f>
        <v>0</v>
      </c>
      <c r="Q11" s="131">
        <f>D11*K11</f>
        <v>0</v>
      </c>
      <c r="R11" s="132">
        <f>IF(I11&lt;&gt;"","",IF(N11,D11*L11,0))</f>
        <v>0</v>
      </c>
      <c r="S11" s="272"/>
      <c r="T11" s="106">
        <f>Tabelas!B94</f>
        <v>8</v>
      </c>
      <c r="U11" s="107" t="str">
        <f>Tabelas!A94</f>
        <v>Moinho</v>
      </c>
      <c r="DT11" s="4" t="s">
        <v>5</v>
      </c>
      <c r="DU11" s="4" t="s">
        <v>186</v>
      </c>
    </row>
    <row r="12" spans="1:125" ht="12.75" customHeight="1" thickBot="1">
      <c r="A12" s="283"/>
      <c r="B12" s="262"/>
      <c r="C12" s="263"/>
      <c r="D12" s="190"/>
      <c r="E12" s="256"/>
      <c r="F12" s="257"/>
      <c r="G12" s="258"/>
      <c r="H12" s="191"/>
      <c r="I12" s="192"/>
      <c r="J12" s="129">
        <f>IF(M12,VLOOKUP($I12,Tabelas!$E$88:$G$107,IF($H12=3,2,3),FALSE),0)</f>
        <v>0</v>
      </c>
      <c r="K12" s="129">
        <f>IF(N12,VLOOKUP($I12,Tabelas!$E$88:$G$107,IF($H12=3,2,3),FALSE),0)</f>
        <v>0</v>
      </c>
      <c r="L12" s="133">
        <f>IF(E12&lt;&gt;"",IF(I12="",VLOOKUP(E12,$DT$12:$DU$61,2,FALSE),""),"")</f>
      </c>
      <c r="M12" s="126" t="b">
        <v>0</v>
      </c>
      <c r="N12" s="126" t="b">
        <v>0</v>
      </c>
      <c r="O12" s="133">
        <f aca="true" t="shared" si="0" ref="O12:O39">D12*J12</f>
        <v>0</v>
      </c>
      <c r="P12" s="133">
        <f>IF(I12&lt;&gt;"","",IF(M12,D12*L12,0))</f>
        <v>0</v>
      </c>
      <c r="Q12" s="133">
        <f aca="true" t="shared" si="1" ref="Q12:Q39">D12*K12</f>
        <v>0</v>
      </c>
      <c r="R12" s="134">
        <f>IF(I12&lt;&gt;"","",IF(N12,D12*L12,0))</f>
        <v>0</v>
      </c>
      <c r="S12" s="272"/>
      <c r="T12" s="106">
        <f>Tabelas!B95</f>
        <v>9</v>
      </c>
      <c r="U12" s="107" t="str">
        <f>Tabelas!A95</f>
        <v>Olaria</v>
      </c>
      <c r="DT12" s="172" t="s">
        <v>17</v>
      </c>
      <c r="DU12" s="172">
        <v>1.3</v>
      </c>
    </row>
    <row r="13" spans="1:125" ht="12.75" customHeight="1" thickBot="1">
      <c r="A13" s="283"/>
      <c r="B13" s="262"/>
      <c r="C13" s="263"/>
      <c r="D13" s="190"/>
      <c r="E13" s="256"/>
      <c r="F13" s="257"/>
      <c r="G13" s="258"/>
      <c r="H13" s="191"/>
      <c r="I13" s="192"/>
      <c r="J13" s="129">
        <f>IF(M13,VLOOKUP($I13,Tabelas!$E$88:$G$107,IF($H13=3,2,3),FALSE),0)</f>
        <v>0</v>
      </c>
      <c r="K13" s="129">
        <f>IF(N13,VLOOKUP($I13,Tabelas!$E$88:$G$107,IF($H13=3,2,3),FALSE),0)</f>
        <v>0</v>
      </c>
      <c r="L13" s="133">
        <f aca="true" t="shared" si="2" ref="L13:L38">IF(E13&lt;&gt;"",IF(I13="",VLOOKUP(E13,$DT$12:$DU$61,2,FALSE),""),"")</f>
      </c>
      <c r="M13" s="126" t="b">
        <v>0</v>
      </c>
      <c r="N13" s="126" t="b">
        <v>0</v>
      </c>
      <c r="O13" s="133">
        <f t="shared" si="0"/>
        <v>0</v>
      </c>
      <c r="P13" s="133">
        <f aca="true" t="shared" si="3" ref="P13:P39">IF(I13&lt;&gt;"","",IF(M13,D13*L13,0))</f>
        <v>0</v>
      </c>
      <c r="Q13" s="133">
        <f t="shared" si="1"/>
        <v>0</v>
      </c>
      <c r="R13" s="134">
        <f aca="true" t="shared" si="4" ref="R13:R39">IF(I13&lt;&gt;"","",IF(N13,D13*L13,0))</f>
        <v>0</v>
      </c>
      <c r="S13" s="272"/>
      <c r="T13" s="106">
        <f>Tabelas!B96</f>
        <v>10</v>
      </c>
      <c r="U13" s="107" t="str">
        <f>Tabelas!A96</f>
        <v>Serraria</v>
      </c>
      <c r="DT13" s="172" t="s">
        <v>18</v>
      </c>
      <c r="DU13" s="172">
        <v>1.15</v>
      </c>
    </row>
    <row r="14" spans="1:125" ht="12.75" customHeight="1" thickBot="1">
      <c r="A14" s="283"/>
      <c r="B14" s="262"/>
      <c r="C14" s="263"/>
      <c r="D14" s="190"/>
      <c r="E14" s="256"/>
      <c r="F14" s="257"/>
      <c r="G14" s="258"/>
      <c r="H14" s="191"/>
      <c r="I14" s="192"/>
      <c r="J14" s="129">
        <f>IF(M14,VLOOKUP($I14,Tabelas!$E$88:$G$107,IF($H14=3,2,3),FALSE),0)</f>
        <v>0</v>
      </c>
      <c r="K14" s="129">
        <f>IF(N14,VLOOKUP($I14,Tabelas!$E$88:$G$107,IF($H14=3,2,3),FALSE),0)</f>
        <v>0</v>
      </c>
      <c r="L14" s="133">
        <f t="shared" si="2"/>
      </c>
      <c r="M14" s="126" t="b">
        <v>0</v>
      </c>
      <c r="N14" s="126" t="b">
        <v>0</v>
      </c>
      <c r="O14" s="133">
        <f t="shared" si="0"/>
        <v>0</v>
      </c>
      <c r="P14" s="133">
        <f t="shared" si="3"/>
        <v>0</v>
      </c>
      <c r="Q14" s="133">
        <f t="shared" si="1"/>
        <v>0</v>
      </c>
      <c r="R14" s="134">
        <f t="shared" si="4"/>
        <v>0</v>
      </c>
      <c r="S14" s="272"/>
      <c r="T14" s="106">
        <f>Tabelas!B97</f>
        <v>11</v>
      </c>
      <c r="U14" s="107" t="str">
        <f>Tabelas!A97</f>
        <v>Tambo</v>
      </c>
      <c r="DT14" s="172" t="s">
        <v>50</v>
      </c>
      <c r="DU14" s="173">
        <v>0.001</v>
      </c>
    </row>
    <row r="15" spans="1:125" ht="12.75" customHeight="1" thickBot="1">
      <c r="A15" s="283"/>
      <c r="B15" s="262"/>
      <c r="C15" s="263"/>
      <c r="D15" s="190"/>
      <c r="E15" s="256"/>
      <c r="F15" s="257"/>
      <c r="G15" s="258"/>
      <c r="H15" s="191"/>
      <c r="I15" s="192"/>
      <c r="J15" s="129">
        <f>IF(M15,VLOOKUP($I15,Tabelas!$E$88:$G$107,IF($H15=3,2,3),FALSE),0)</f>
        <v>0</v>
      </c>
      <c r="K15" s="129">
        <f>IF(N15,VLOOKUP($I15,Tabelas!$E$88:$G$107,IF($H15=3,2,3),FALSE),0)</f>
        <v>0</v>
      </c>
      <c r="L15" s="133">
        <f t="shared" si="2"/>
      </c>
      <c r="M15" s="126" t="b">
        <v>0</v>
      </c>
      <c r="N15" s="126" t="b">
        <v>0</v>
      </c>
      <c r="O15" s="133">
        <f t="shared" si="0"/>
        <v>0</v>
      </c>
      <c r="P15" s="133">
        <f t="shared" si="3"/>
        <v>0</v>
      </c>
      <c r="Q15" s="133">
        <f t="shared" si="1"/>
        <v>0</v>
      </c>
      <c r="R15" s="134">
        <f t="shared" si="4"/>
        <v>0</v>
      </c>
      <c r="S15" s="272"/>
      <c r="T15" s="106">
        <f>Tabelas!B98</f>
        <v>12</v>
      </c>
      <c r="U15" s="107"/>
      <c r="DT15" s="172" t="s">
        <v>9</v>
      </c>
      <c r="DU15" s="172">
        <v>1</v>
      </c>
    </row>
    <row r="16" spans="1:125" ht="12.75" customHeight="1" thickBot="1">
      <c r="A16" s="283"/>
      <c r="B16" s="262"/>
      <c r="C16" s="263"/>
      <c r="D16" s="190"/>
      <c r="E16" s="256"/>
      <c r="F16" s="257"/>
      <c r="G16" s="258"/>
      <c r="H16" s="191"/>
      <c r="I16" s="192"/>
      <c r="J16" s="129">
        <f>IF(M16,VLOOKUP($I16,Tabelas!$E$88:$G$107,IF($H16=3,2,3),FALSE),0)</f>
        <v>0</v>
      </c>
      <c r="K16" s="129">
        <f>IF(N16,VLOOKUP($I16,Tabelas!$E$88:$G$107,IF($H16=3,2,3),FALSE),0)</f>
        <v>0</v>
      </c>
      <c r="L16" s="133">
        <f t="shared" si="2"/>
      </c>
      <c r="M16" s="126" t="b">
        <v>0</v>
      </c>
      <c r="N16" s="126" t="b">
        <v>0</v>
      </c>
      <c r="O16" s="133">
        <f t="shared" si="0"/>
        <v>0</v>
      </c>
      <c r="P16" s="133">
        <f t="shared" si="3"/>
        <v>0</v>
      </c>
      <c r="Q16" s="133">
        <f t="shared" si="1"/>
        <v>0</v>
      </c>
      <c r="R16" s="134">
        <f t="shared" si="4"/>
        <v>0</v>
      </c>
      <c r="S16" s="272"/>
      <c r="DT16" s="172" t="s">
        <v>19</v>
      </c>
      <c r="DU16" s="172">
        <v>0.2</v>
      </c>
    </row>
    <row r="17" spans="1:125" ht="12.75" customHeight="1" thickBot="1">
      <c r="A17" s="283"/>
      <c r="B17" s="262"/>
      <c r="C17" s="263"/>
      <c r="D17" s="190"/>
      <c r="E17" s="256"/>
      <c r="F17" s="257"/>
      <c r="G17" s="258"/>
      <c r="H17" s="191"/>
      <c r="I17" s="192"/>
      <c r="J17" s="129">
        <f>IF(M17,VLOOKUP($I17,Tabelas!$E$88:$G$107,IF($H17=3,2,3),FALSE),0)</f>
        <v>0</v>
      </c>
      <c r="K17" s="129">
        <f>IF(N17,VLOOKUP($I17,Tabelas!$E$88:$G$107,IF($H17=3,2,3),FALSE),0)</f>
        <v>0</v>
      </c>
      <c r="L17" s="133">
        <f t="shared" si="2"/>
      </c>
      <c r="M17" s="126" t="b">
        <v>0</v>
      </c>
      <c r="N17" s="126" t="b">
        <v>0</v>
      </c>
      <c r="O17" s="133">
        <f t="shared" si="0"/>
        <v>0</v>
      </c>
      <c r="P17" s="133">
        <f t="shared" si="3"/>
        <v>0</v>
      </c>
      <c r="Q17" s="133">
        <f t="shared" si="1"/>
        <v>0</v>
      </c>
      <c r="R17" s="134">
        <f t="shared" si="4"/>
        <v>0</v>
      </c>
      <c r="S17" s="272"/>
      <c r="DT17" s="172" t="s">
        <v>20</v>
      </c>
      <c r="DU17" s="172">
        <v>1</v>
      </c>
    </row>
    <row r="18" spans="1:125" ht="12.75" customHeight="1" thickBot="1">
      <c r="A18" s="283"/>
      <c r="B18" s="262"/>
      <c r="C18" s="263"/>
      <c r="D18" s="190"/>
      <c r="E18" s="256"/>
      <c r="F18" s="257"/>
      <c r="G18" s="258"/>
      <c r="H18" s="191"/>
      <c r="I18" s="192"/>
      <c r="J18" s="129">
        <f>IF(M18,VLOOKUP($I18,Tabelas!$E$88:$G$107,IF($H18=3,2,3),FALSE),0)</f>
        <v>0</v>
      </c>
      <c r="K18" s="129">
        <f>IF(N18,VLOOKUP($I18,Tabelas!$E$88:$G$107,IF($H18=3,2,3),FALSE),0)</f>
        <v>0</v>
      </c>
      <c r="L18" s="133">
        <f t="shared" si="2"/>
      </c>
      <c r="M18" s="126" t="b">
        <v>0</v>
      </c>
      <c r="N18" s="126" t="b">
        <v>0</v>
      </c>
      <c r="O18" s="133">
        <f t="shared" si="0"/>
        <v>0</v>
      </c>
      <c r="P18" s="133">
        <f t="shared" si="3"/>
        <v>0</v>
      </c>
      <c r="Q18" s="133">
        <f t="shared" si="1"/>
        <v>0</v>
      </c>
      <c r="R18" s="134">
        <f t="shared" si="4"/>
        <v>0</v>
      </c>
      <c r="S18" s="272"/>
      <c r="DT18" s="172" t="s">
        <v>7</v>
      </c>
      <c r="DU18" s="172">
        <v>5</v>
      </c>
    </row>
    <row r="19" spans="1:125" ht="12.75" customHeight="1" thickBot="1">
      <c r="A19" s="283"/>
      <c r="B19" s="262"/>
      <c r="C19" s="263"/>
      <c r="D19" s="190"/>
      <c r="E19" s="256"/>
      <c r="F19" s="257"/>
      <c r="G19" s="258"/>
      <c r="H19" s="191"/>
      <c r="I19" s="192"/>
      <c r="J19" s="129">
        <f>IF(M19,VLOOKUP($I19,Tabelas!$E$88:$G$107,IF($H19=3,2,3),FALSE),0)</f>
        <v>0</v>
      </c>
      <c r="K19" s="129">
        <f>IF(N19,VLOOKUP($I19,Tabelas!$E$88:$G$107,IF($H19=3,2,3),FALSE),0)</f>
        <v>0</v>
      </c>
      <c r="L19" s="133">
        <f t="shared" si="2"/>
      </c>
      <c r="M19" s="126" t="b">
        <v>0</v>
      </c>
      <c r="N19" s="126" t="b">
        <v>0</v>
      </c>
      <c r="O19" s="133">
        <f t="shared" si="0"/>
        <v>0</v>
      </c>
      <c r="P19" s="133">
        <f t="shared" si="3"/>
        <v>0</v>
      </c>
      <c r="Q19" s="133">
        <f t="shared" si="1"/>
        <v>0</v>
      </c>
      <c r="R19" s="134">
        <f t="shared" si="4"/>
        <v>0</v>
      </c>
      <c r="S19" s="272"/>
      <c r="DT19" s="172" t="s">
        <v>39</v>
      </c>
      <c r="DU19" s="173">
        <v>0.736</v>
      </c>
    </row>
    <row r="20" spans="1:125" ht="12.75" customHeight="1" thickBot="1">
      <c r="A20" s="283"/>
      <c r="B20" s="262"/>
      <c r="C20" s="263"/>
      <c r="D20" s="190"/>
      <c r="E20" s="256"/>
      <c r="F20" s="257"/>
      <c r="G20" s="258"/>
      <c r="H20" s="191"/>
      <c r="I20" s="192"/>
      <c r="J20" s="129">
        <f>IF(M20,VLOOKUP($I20,Tabelas!$E$88:$G$107,IF($H20=3,2,3),FALSE),0)</f>
        <v>0</v>
      </c>
      <c r="K20" s="129">
        <f>IF(N20,VLOOKUP($I20,Tabelas!$E$88:$G$107,IF($H20=3,2,3),FALSE),0)</f>
        <v>0</v>
      </c>
      <c r="L20" s="133">
        <f t="shared" si="2"/>
      </c>
      <c r="M20" s="126" t="b">
        <v>0</v>
      </c>
      <c r="N20" s="126" t="b">
        <v>0</v>
      </c>
      <c r="O20" s="133">
        <f t="shared" si="0"/>
        <v>0</v>
      </c>
      <c r="P20" s="133">
        <f t="shared" si="3"/>
        <v>0</v>
      </c>
      <c r="Q20" s="133">
        <f t="shared" si="1"/>
        <v>0</v>
      </c>
      <c r="R20" s="134">
        <f t="shared" si="4"/>
        <v>0</v>
      </c>
      <c r="S20" s="272"/>
      <c r="T20" s="103" t="s">
        <v>190</v>
      </c>
      <c r="DT20" s="172" t="s">
        <v>11</v>
      </c>
      <c r="DU20" s="172">
        <v>0.35</v>
      </c>
    </row>
    <row r="21" spans="1:125" ht="12.75" customHeight="1" thickBot="1">
      <c r="A21" s="283"/>
      <c r="B21" s="262"/>
      <c r="C21" s="263"/>
      <c r="D21" s="190"/>
      <c r="E21" s="256"/>
      <c r="F21" s="257"/>
      <c r="G21" s="258"/>
      <c r="H21" s="191"/>
      <c r="I21" s="192"/>
      <c r="J21" s="129">
        <f>IF(M21,VLOOKUP($I21,Tabelas!$E$88:$G$107,IF($H21=3,2,3),FALSE),0)</f>
        <v>0</v>
      </c>
      <c r="K21" s="129">
        <f>IF(N21,VLOOKUP($I21,Tabelas!$E$88:$G$107,IF($H21=3,2,3),FALSE),0)</f>
        <v>0</v>
      </c>
      <c r="L21" s="133">
        <f t="shared" si="2"/>
      </c>
      <c r="M21" s="126" t="b">
        <v>0</v>
      </c>
      <c r="N21" s="126" t="b">
        <v>0</v>
      </c>
      <c r="O21" s="133">
        <f t="shared" si="0"/>
        <v>0</v>
      </c>
      <c r="P21" s="133">
        <f t="shared" si="3"/>
        <v>0</v>
      </c>
      <c r="Q21" s="133">
        <f t="shared" si="1"/>
        <v>0</v>
      </c>
      <c r="R21" s="134">
        <f t="shared" si="4"/>
        <v>0</v>
      </c>
      <c r="S21" s="272"/>
      <c r="T21" s="103" t="s">
        <v>191</v>
      </c>
      <c r="DT21" s="172" t="s">
        <v>21</v>
      </c>
      <c r="DU21" s="172">
        <v>3.5</v>
      </c>
    </row>
    <row r="22" spans="1:125" ht="12.75" customHeight="1" thickBot="1">
      <c r="A22" s="283"/>
      <c r="B22" s="262"/>
      <c r="C22" s="263"/>
      <c r="D22" s="190"/>
      <c r="E22" s="256"/>
      <c r="F22" s="257"/>
      <c r="G22" s="258"/>
      <c r="H22" s="191"/>
      <c r="I22" s="192"/>
      <c r="J22" s="129">
        <f>IF(M22,VLOOKUP($I22,Tabelas!$E$88:$G$107,IF($H22=3,2,3),FALSE),0)</f>
        <v>0</v>
      </c>
      <c r="K22" s="129">
        <f>IF(N22,VLOOKUP($I22,Tabelas!$E$88:$G$107,IF($H22=3,2,3),FALSE),0)</f>
        <v>0</v>
      </c>
      <c r="L22" s="133">
        <f t="shared" si="2"/>
      </c>
      <c r="M22" s="126" t="b">
        <v>0</v>
      </c>
      <c r="N22" s="126" t="b">
        <v>0</v>
      </c>
      <c r="O22" s="133">
        <f t="shared" si="0"/>
        <v>0</v>
      </c>
      <c r="P22" s="133">
        <f t="shared" si="3"/>
        <v>0</v>
      </c>
      <c r="Q22" s="133">
        <f t="shared" si="1"/>
        <v>0</v>
      </c>
      <c r="R22" s="134">
        <f t="shared" si="4"/>
        <v>0</v>
      </c>
      <c r="S22" s="272"/>
      <c r="T22" s="103" t="s">
        <v>192</v>
      </c>
      <c r="DT22" s="172" t="s">
        <v>22</v>
      </c>
      <c r="DU22" s="172">
        <v>0.5</v>
      </c>
    </row>
    <row r="23" spans="1:125" ht="12.75" customHeight="1" thickBot="1">
      <c r="A23" s="283"/>
      <c r="B23" s="262"/>
      <c r="C23" s="263"/>
      <c r="D23" s="190"/>
      <c r="E23" s="256"/>
      <c r="F23" s="257"/>
      <c r="G23" s="258"/>
      <c r="H23" s="191"/>
      <c r="I23" s="192"/>
      <c r="J23" s="129">
        <f>IF(M23,VLOOKUP($I23,Tabelas!$E$88:$G$107,IF($H23=3,2,3),FALSE),0)</f>
        <v>0</v>
      </c>
      <c r="K23" s="129">
        <f>IF(N23,VLOOKUP($I23,Tabelas!$E$88:$G$107,IF($H23=3,2,3),FALSE),0)</f>
        <v>0</v>
      </c>
      <c r="L23" s="133">
        <f t="shared" si="2"/>
      </c>
      <c r="M23" s="126" t="b">
        <v>0</v>
      </c>
      <c r="N23" s="126" t="b">
        <v>0</v>
      </c>
      <c r="O23" s="133">
        <f t="shared" si="0"/>
        <v>0</v>
      </c>
      <c r="P23" s="133">
        <f t="shared" si="3"/>
        <v>0</v>
      </c>
      <c r="Q23" s="133">
        <f t="shared" si="1"/>
        <v>0</v>
      </c>
      <c r="R23" s="134">
        <f t="shared" si="4"/>
        <v>0</v>
      </c>
      <c r="S23" s="272"/>
      <c r="T23" s="103" t="s">
        <v>193</v>
      </c>
      <c r="U23" s="103" t="s">
        <v>194</v>
      </c>
      <c r="DT23" s="172" t="s">
        <v>10</v>
      </c>
      <c r="DU23" s="172">
        <v>1</v>
      </c>
    </row>
    <row r="24" spans="1:125" ht="12.75" customHeight="1" thickBot="1">
      <c r="A24" s="283"/>
      <c r="B24" s="262"/>
      <c r="C24" s="263"/>
      <c r="D24" s="190"/>
      <c r="E24" s="256"/>
      <c r="F24" s="257"/>
      <c r="G24" s="258"/>
      <c r="H24" s="191"/>
      <c r="I24" s="192"/>
      <c r="J24" s="129">
        <f>IF(M24,VLOOKUP($I24,Tabelas!$E$88:$G$107,IF($H24=3,2,3),FALSE),0)</f>
        <v>0</v>
      </c>
      <c r="K24" s="129">
        <f>IF(N24,VLOOKUP($I24,Tabelas!$E$88:$G$107,IF($H24=3,2,3),FALSE),0)</f>
        <v>0</v>
      </c>
      <c r="L24" s="133">
        <f t="shared" si="2"/>
      </c>
      <c r="M24" s="126" t="b">
        <v>0</v>
      </c>
      <c r="N24" s="126" t="b">
        <v>0</v>
      </c>
      <c r="O24" s="133">
        <f t="shared" si="0"/>
        <v>0</v>
      </c>
      <c r="P24" s="133">
        <f t="shared" si="3"/>
        <v>0</v>
      </c>
      <c r="Q24" s="133">
        <f t="shared" si="1"/>
        <v>0</v>
      </c>
      <c r="R24" s="134">
        <f t="shared" si="4"/>
        <v>0</v>
      </c>
      <c r="S24" s="272"/>
      <c r="T24" s="171">
        <v>0.25</v>
      </c>
      <c r="V24" s="109"/>
      <c r="W24" s="109"/>
      <c r="DT24" s="172" t="s">
        <v>23</v>
      </c>
      <c r="DU24" s="174">
        <v>1.3</v>
      </c>
    </row>
    <row r="25" spans="1:125" ht="12.75" customHeight="1" thickBot="1">
      <c r="A25" s="283"/>
      <c r="B25" s="262"/>
      <c r="C25" s="263"/>
      <c r="D25" s="190"/>
      <c r="E25" s="256"/>
      <c r="F25" s="257"/>
      <c r="G25" s="258"/>
      <c r="H25" s="191"/>
      <c r="I25" s="192"/>
      <c r="J25" s="129">
        <f>IF(M25,VLOOKUP($I25,Tabelas!$E$88:$G$107,IF($H25=3,2,3),FALSE),0)</f>
        <v>0</v>
      </c>
      <c r="K25" s="129">
        <f>IF(N25,VLOOKUP($I25,Tabelas!$E$88:$G$107,IF($H25=3,2,3),FALSE),0)</f>
        <v>0</v>
      </c>
      <c r="L25" s="133">
        <f t="shared" si="2"/>
      </c>
      <c r="M25" s="126" t="b">
        <v>0</v>
      </c>
      <c r="N25" s="126" t="b">
        <v>0</v>
      </c>
      <c r="O25" s="133">
        <f t="shared" si="0"/>
        <v>0</v>
      </c>
      <c r="P25" s="133">
        <f t="shared" si="3"/>
        <v>0</v>
      </c>
      <c r="Q25" s="133">
        <f t="shared" si="1"/>
        <v>0</v>
      </c>
      <c r="R25" s="134">
        <f t="shared" si="4"/>
        <v>0</v>
      </c>
      <c r="S25" s="272"/>
      <c r="T25" s="171">
        <v>0.3333333333333333</v>
      </c>
      <c r="U25" s="109"/>
      <c r="W25" s="109"/>
      <c r="DT25" s="172" t="s">
        <v>24</v>
      </c>
      <c r="DU25" s="174">
        <v>1.5</v>
      </c>
    </row>
    <row r="26" spans="1:125" ht="12.75" customHeight="1" thickBot="1">
      <c r="A26" s="283"/>
      <c r="B26" s="262"/>
      <c r="C26" s="263"/>
      <c r="D26" s="190"/>
      <c r="E26" s="256"/>
      <c r="F26" s="257"/>
      <c r="G26" s="258"/>
      <c r="H26" s="191"/>
      <c r="I26" s="192"/>
      <c r="J26" s="129">
        <f>IF(M26,VLOOKUP($I26,Tabelas!$E$88:$G$107,IF($H26=3,2,3),FALSE),0)</f>
        <v>0</v>
      </c>
      <c r="K26" s="129">
        <f>IF(N26,VLOOKUP($I26,Tabelas!$E$88:$G$107,IF($H26=3,2,3),FALSE),0)</f>
        <v>0</v>
      </c>
      <c r="L26" s="133">
        <f t="shared" si="2"/>
      </c>
      <c r="M26" s="126" t="b">
        <v>0</v>
      </c>
      <c r="N26" s="126" t="b">
        <v>0</v>
      </c>
      <c r="O26" s="133">
        <f t="shared" si="0"/>
        <v>0</v>
      </c>
      <c r="P26" s="133">
        <f t="shared" si="3"/>
        <v>0</v>
      </c>
      <c r="Q26" s="133">
        <f t="shared" si="1"/>
        <v>0</v>
      </c>
      <c r="R26" s="134">
        <f t="shared" si="4"/>
        <v>0</v>
      </c>
      <c r="S26" s="272"/>
      <c r="T26" s="171">
        <v>0.5</v>
      </c>
      <c r="U26" s="109"/>
      <c r="W26" s="109"/>
      <c r="DT26" s="172" t="s">
        <v>59</v>
      </c>
      <c r="DU26" s="174">
        <v>0.4</v>
      </c>
    </row>
    <row r="27" spans="1:125" ht="12.75" customHeight="1" thickBot="1">
      <c r="A27" s="283"/>
      <c r="B27" s="262"/>
      <c r="C27" s="263"/>
      <c r="D27" s="190"/>
      <c r="E27" s="256"/>
      <c r="F27" s="257"/>
      <c r="G27" s="258"/>
      <c r="H27" s="191"/>
      <c r="I27" s="192"/>
      <c r="J27" s="129">
        <f>IF(M27,VLOOKUP($I27,Tabelas!$E$88:$G$107,IF($H27=3,2,3),FALSE),0)</f>
        <v>0</v>
      </c>
      <c r="K27" s="129">
        <f>IF(N27,VLOOKUP($I27,Tabelas!$E$88:$G$107,IF($H27=3,2,3),FALSE),0)</f>
        <v>0</v>
      </c>
      <c r="L27" s="133">
        <f t="shared" si="2"/>
      </c>
      <c r="M27" s="126" t="b">
        <v>0</v>
      </c>
      <c r="N27" s="126" t="b">
        <v>0</v>
      </c>
      <c r="O27" s="133">
        <f t="shared" si="0"/>
        <v>0</v>
      </c>
      <c r="P27" s="133">
        <f t="shared" si="3"/>
        <v>0</v>
      </c>
      <c r="Q27" s="133">
        <f t="shared" si="1"/>
        <v>0</v>
      </c>
      <c r="R27" s="134">
        <f t="shared" si="4"/>
        <v>0</v>
      </c>
      <c r="S27" s="272"/>
      <c r="T27" s="171">
        <v>0.75</v>
      </c>
      <c r="U27" s="109"/>
      <c r="W27" s="109"/>
      <c r="DT27" s="172" t="s">
        <v>42</v>
      </c>
      <c r="DU27" s="172">
        <v>0.02</v>
      </c>
    </row>
    <row r="28" spans="1:125" ht="12.75" customHeight="1" thickBot="1">
      <c r="A28" s="283"/>
      <c r="B28" s="262"/>
      <c r="C28" s="263"/>
      <c r="D28" s="190"/>
      <c r="E28" s="256"/>
      <c r="F28" s="257"/>
      <c r="G28" s="258"/>
      <c r="H28" s="191"/>
      <c r="I28" s="192"/>
      <c r="J28" s="129">
        <f>IF(M28,VLOOKUP($I28,Tabelas!$E$88:$G$107,IF($H28=3,2,3),FALSE),0)</f>
        <v>0</v>
      </c>
      <c r="K28" s="129">
        <f>IF(N28,VLOOKUP($I28,Tabelas!$E$88:$G$107,IF($H28=3,2,3),FALSE),0)</f>
        <v>0</v>
      </c>
      <c r="L28" s="133">
        <f t="shared" si="2"/>
      </c>
      <c r="M28" s="126" t="b">
        <v>0</v>
      </c>
      <c r="N28" s="126" t="b">
        <v>0</v>
      </c>
      <c r="O28" s="133">
        <f t="shared" si="0"/>
        <v>0</v>
      </c>
      <c r="P28" s="133">
        <f t="shared" si="3"/>
        <v>0</v>
      </c>
      <c r="Q28" s="133">
        <f t="shared" si="1"/>
        <v>0</v>
      </c>
      <c r="R28" s="134">
        <f t="shared" si="4"/>
        <v>0</v>
      </c>
      <c r="S28" s="272"/>
      <c r="T28" s="171">
        <v>1</v>
      </c>
      <c r="U28" s="109"/>
      <c r="W28" s="109"/>
      <c r="DT28" s="172" t="s">
        <v>43</v>
      </c>
      <c r="DU28" s="172">
        <v>0.025</v>
      </c>
    </row>
    <row r="29" spans="1:125" ht="12.75" customHeight="1" thickBot="1">
      <c r="A29" s="283"/>
      <c r="B29" s="262"/>
      <c r="C29" s="263"/>
      <c r="D29" s="190"/>
      <c r="E29" s="256"/>
      <c r="F29" s="257"/>
      <c r="G29" s="258"/>
      <c r="H29" s="191"/>
      <c r="I29" s="192"/>
      <c r="J29" s="129">
        <f>IF(M29,VLOOKUP($I29,Tabelas!$E$88:$G$107,IF($H29=3,2,3),FALSE),0)</f>
        <v>0</v>
      </c>
      <c r="K29" s="129">
        <f>IF(N29,VLOOKUP($I29,Tabelas!$E$88:$G$107,IF($H29=3,2,3),FALSE),0)</f>
        <v>0</v>
      </c>
      <c r="L29" s="133">
        <f t="shared" si="2"/>
      </c>
      <c r="M29" s="126" t="b">
        <v>0</v>
      </c>
      <c r="N29" s="126" t="b">
        <v>0</v>
      </c>
      <c r="O29" s="133">
        <f t="shared" si="0"/>
        <v>0</v>
      </c>
      <c r="P29" s="133">
        <f t="shared" si="3"/>
        <v>0</v>
      </c>
      <c r="Q29" s="133">
        <f t="shared" si="1"/>
        <v>0</v>
      </c>
      <c r="R29" s="134">
        <f t="shared" si="4"/>
        <v>0</v>
      </c>
      <c r="S29" s="272"/>
      <c r="T29" s="171">
        <v>1.5</v>
      </c>
      <c r="U29" s="109"/>
      <c r="W29" s="109"/>
      <c r="DT29" s="172" t="s">
        <v>45</v>
      </c>
      <c r="DU29" s="172">
        <v>0.032</v>
      </c>
    </row>
    <row r="30" spans="1:125" ht="12.75" customHeight="1" thickBot="1">
      <c r="A30" s="283"/>
      <c r="B30" s="262"/>
      <c r="C30" s="263"/>
      <c r="D30" s="190"/>
      <c r="E30" s="256"/>
      <c r="F30" s="257"/>
      <c r="G30" s="258"/>
      <c r="H30" s="191"/>
      <c r="I30" s="192"/>
      <c r="J30" s="129">
        <f>IF(M30,VLOOKUP($I30,Tabelas!$E$88:$G$107,IF($H30=3,2,3),FALSE),0)</f>
        <v>0</v>
      </c>
      <c r="K30" s="129">
        <f>IF(N30,VLOOKUP($I30,Tabelas!$E$88:$G$107,IF($H30=3,2,3),FALSE),0)</f>
        <v>0</v>
      </c>
      <c r="L30" s="133">
        <f t="shared" si="2"/>
      </c>
      <c r="M30" s="126" t="b">
        <v>0</v>
      </c>
      <c r="N30" s="126" t="b">
        <v>0</v>
      </c>
      <c r="O30" s="133">
        <f t="shared" si="0"/>
        <v>0</v>
      </c>
      <c r="P30" s="133">
        <f t="shared" si="3"/>
        <v>0</v>
      </c>
      <c r="Q30" s="133">
        <f t="shared" si="1"/>
        <v>0</v>
      </c>
      <c r="R30" s="134">
        <f t="shared" si="4"/>
        <v>0</v>
      </c>
      <c r="S30" s="272"/>
      <c r="T30" s="171">
        <v>2</v>
      </c>
      <c r="U30" s="109"/>
      <c r="W30" s="109"/>
      <c r="DT30" s="172" t="s">
        <v>44</v>
      </c>
      <c r="DU30" s="172">
        <v>0.04</v>
      </c>
    </row>
    <row r="31" spans="1:125" ht="12.75" customHeight="1" thickBot="1">
      <c r="A31" s="283"/>
      <c r="B31" s="262"/>
      <c r="C31" s="263"/>
      <c r="D31" s="190"/>
      <c r="E31" s="256"/>
      <c r="F31" s="257"/>
      <c r="G31" s="258"/>
      <c r="H31" s="191"/>
      <c r="I31" s="192"/>
      <c r="J31" s="129">
        <f>IF(M31,VLOOKUP($I31,Tabelas!$E$88:$G$107,IF($H31=3,2,3),FALSE),0)</f>
        <v>0</v>
      </c>
      <c r="K31" s="129">
        <f>IF(N31,VLOOKUP($I31,Tabelas!$E$88:$G$107,IF($H31=3,2,3),FALSE),0)</f>
        <v>0</v>
      </c>
      <c r="L31" s="133">
        <f t="shared" si="2"/>
      </c>
      <c r="M31" s="126" t="b">
        <v>0</v>
      </c>
      <c r="N31" s="126" t="b">
        <v>0</v>
      </c>
      <c r="O31" s="133">
        <f t="shared" si="0"/>
        <v>0</v>
      </c>
      <c r="P31" s="133">
        <f t="shared" si="3"/>
        <v>0</v>
      </c>
      <c r="Q31" s="133">
        <f t="shared" si="1"/>
        <v>0</v>
      </c>
      <c r="R31" s="134">
        <f t="shared" si="4"/>
        <v>0</v>
      </c>
      <c r="S31" s="272"/>
      <c r="T31" s="171">
        <v>3</v>
      </c>
      <c r="U31" s="109"/>
      <c r="W31" s="109"/>
      <c r="DT31" s="172" t="s">
        <v>41</v>
      </c>
      <c r="DU31" s="172">
        <v>0.1</v>
      </c>
    </row>
    <row r="32" spans="1:125" ht="12.75" customHeight="1" thickBot="1">
      <c r="A32" s="283"/>
      <c r="B32" s="262"/>
      <c r="C32" s="263"/>
      <c r="D32" s="190"/>
      <c r="E32" s="256"/>
      <c r="F32" s="257"/>
      <c r="G32" s="258"/>
      <c r="H32" s="191"/>
      <c r="I32" s="192"/>
      <c r="J32" s="129">
        <f>IF(M32,VLOOKUP($I32,Tabelas!$E$88:$G$107,IF($H32=3,2,3),FALSE),0)</f>
        <v>0</v>
      </c>
      <c r="K32" s="129">
        <f>IF(N32,VLOOKUP($I32,Tabelas!$E$88:$G$107,IF($H32=3,2,3),FALSE),0)</f>
        <v>0</v>
      </c>
      <c r="L32" s="133">
        <f t="shared" si="2"/>
      </c>
      <c r="M32" s="126" t="b">
        <v>0</v>
      </c>
      <c r="N32" s="126" t="b">
        <v>0</v>
      </c>
      <c r="O32" s="133">
        <f t="shared" si="0"/>
        <v>0</v>
      </c>
      <c r="P32" s="133">
        <f t="shared" si="3"/>
        <v>0</v>
      </c>
      <c r="Q32" s="133">
        <f t="shared" si="1"/>
        <v>0</v>
      </c>
      <c r="R32" s="134">
        <f t="shared" si="4"/>
        <v>0</v>
      </c>
      <c r="S32" s="272"/>
      <c r="T32" s="171">
        <v>4</v>
      </c>
      <c r="U32" s="109"/>
      <c r="W32" s="109"/>
      <c r="DT32" s="172" t="s">
        <v>40</v>
      </c>
      <c r="DU32" s="172">
        <v>0.06</v>
      </c>
    </row>
    <row r="33" spans="1:125" ht="12.75" customHeight="1" thickBot="1">
      <c r="A33" s="283"/>
      <c r="B33" s="262"/>
      <c r="C33" s="263"/>
      <c r="D33" s="190"/>
      <c r="E33" s="256"/>
      <c r="F33" s="257"/>
      <c r="G33" s="258"/>
      <c r="H33" s="191"/>
      <c r="I33" s="192"/>
      <c r="J33" s="129">
        <f>IF(M33,VLOOKUP($I33,Tabelas!$E$88:$G$107,IF($H33=3,2,3),FALSE),0)</f>
        <v>0</v>
      </c>
      <c r="K33" s="129">
        <f>IF(N33,VLOOKUP($I33,Tabelas!$E$88:$G$107,IF($H33=3,2,3),FALSE),0)</f>
        <v>0</v>
      </c>
      <c r="L33" s="133">
        <f t="shared" si="2"/>
      </c>
      <c r="M33" s="126" t="b">
        <v>0</v>
      </c>
      <c r="N33" s="126" t="b">
        <v>0</v>
      </c>
      <c r="O33" s="133">
        <f t="shared" si="0"/>
        <v>0</v>
      </c>
      <c r="P33" s="133">
        <f t="shared" si="3"/>
        <v>0</v>
      </c>
      <c r="Q33" s="133">
        <f t="shared" si="1"/>
        <v>0</v>
      </c>
      <c r="R33" s="134">
        <f t="shared" si="4"/>
        <v>0</v>
      </c>
      <c r="S33" s="272"/>
      <c r="T33" s="171">
        <v>5</v>
      </c>
      <c r="U33" s="109"/>
      <c r="W33" s="109"/>
      <c r="DT33" s="172" t="s">
        <v>79</v>
      </c>
      <c r="DU33" s="172">
        <v>1.5</v>
      </c>
    </row>
    <row r="34" spans="1:125" ht="12.75" customHeight="1" thickBot="1">
      <c r="A34" s="283"/>
      <c r="B34" s="262"/>
      <c r="C34" s="263"/>
      <c r="D34" s="190"/>
      <c r="E34" s="256"/>
      <c r="F34" s="257"/>
      <c r="G34" s="258"/>
      <c r="H34" s="191"/>
      <c r="I34" s="192"/>
      <c r="J34" s="129">
        <f>IF(M34,VLOOKUP($I34,Tabelas!$E$88:$G$107,IF($H34=3,2,3),FALSE),0)</f>
        <v>0</v>
      </c>
      <c r="K34" s="129">
        <f>IF(N34,VLOOKUP($I34,Tabelas!$E$88:$G$107,IF($H34=3,2,3),FALSE),0)</f>
        <v>0</v>
      </c>
      <c r="L34" s="133">
        <f t="shared" si="2"/>
      </c>
      <c r="M34" s="126" t="b">
        <v>0</v>
      </c>
      <c r="N34" s="126" t="b">
        <v>0</v>
      </c>
      <c r="O34" s="133">
        <f t="shared" si="0"/>
        <v>0</v>
      </c>
      <c r="P34" s="133">
        <f t="shared" si="3"/>
        <v>0</v>
      </c>
      <c r="Q34" s="133">
        <f t="shared" si="1"/>
        <v>0</v>
      </c>
      <c r="R34" s="134">
        <f t="shared" si="4"/>
        <v>0</v>
      </c>
      <c r="S34" s="272"/>
      <c r="T34" s="171">
        <v>7.5</v>
      </c>
      <c r="U34" s="109"/>
      <c r="W34" s="109"/>
      <c r="DT34" s="172" t="s">
        <v>78</v>
      </c>
      <c r="DU34" s="172">
        <v>1.5</v>
      </c>
    </row>
    <row r="35" spans="1:125" ht="12.75" customHeight="1" thickBot="1">
      <c r="A35" s="283"/>
      <c r="B35" s="262"/>
      <c r="C35" s="263"/>
      <c r="D35" s="190"/>
      <c r="E35" s="256"/>
      <c r="F35" s="257"/>
      <c r="G35" s="258"/>
      <c r="H35" s="191"/>
      <c r="I35" s="192"/>
      <c r="J35" s="129">
        <f>IF(M35,VLOOKUP($I35,Tabelas!$E$88:$G$107,IF($H35=3,2,3),FALSE),0)</f>
        <v>0</v>
      </c>
      <c r="K35" s="129">
        <f>IF(N35,VLOOKUP($I35,Tabelas!$E$88:$G$107,IF($H35=3,2,3),FALSE),0)</f>
        <v>0</v>
      </c>
      <c r="L35" s="133">
        <f t="shared" si="2"/>
      </c>
      <c r="M35" s="126" t="b">
        <v>0</v>
      </c>
      <c r="N35" s="126" t="b">
        <v>0</v>
      </c>
      <c r="O35" s="133">
        <f t="shared" si="0"/>
        <v>0</v>
      </c>
      <c r="P35" s="133">
        <f t="shared" si="3"/>
        <v>0</v>
      </c>
      <c r="Q35" s="133">
        <f t="shared" si="1"/>
        <v>0</v>
      </c>
      <c r="R35" s="134">
        <f t="shared" si="4"/>
        <v>0</v>
      </c>
      <c r="S35" s="272"/>
      <c r="T35" s="171">
        <v>10</v>
      </c>
      <c r="U35" s="109"/>
      <c r="W35" s="109"/>
      <c r="DT35" s="172" t="s">
        <v>12</v>
      </c>
      <c r="DU35" s="172">
        <v>0.4</v>
      </c>
    </row>
    <row r="36" spans="1:125" ht="12.75" customHeight="1" thickBot="1">
      <c r="A36" s="283"/>
      <c r="B36" s="262"/>
      <c r="C36" s="263"/>
      <c r="D36" s="190"/>
      <c r="E36" s="256"/>
      <c r="F36" s="257"/>
      <c r="G36" s="258"/>
      <c r="H36" s="191"/>
      <c r="I36" s="192"/>
      <c r="J36" s="129">
        <f>IF(M36,VLOOKUP($I36,Tabelas!$E$88:$G$107,IF($H36=3,2,3),FALSE),0)</f>
        <v>0</v>
      </c>
      <c r="K36" s="129">
        <f>IF(N36,VLOOKUP($I36,Tabelas!$E$88:$G$107,IF($H36=3,2,3),FALSE),0)</f>
        <v>0</v>
      </c>
      <c r="L36" s="133">
        <f t="shared" si="2"/>
      </c>
      <c r="M36" s="126" t="b">
        <v>0</v>
      </c>
      <c r="N36" s="126" t="b">
        <v>0</v>
      </c>
      <c r="O36" s="133">
        <f t="shared" si="0"/>
        <v>0</v>
      </c>
      <c r="P36" s="133">
        <f t="shared" si="3"/>
        <v>0</v>
      </c>
      <c r="Q36" s="133">
        <f t="shared" si="1"/>
        <v>0</v>
      </c>
      <c r="R36" s="134">
        <f t="shared" si="4"/>
        <v>0</v>
      </c>
      <c r="S36" s="272"/>
      <c r="T36" s="171">
        <v>12.5</v>
      </c>
      <c r="U36" s="109"/>
      <c r="W36" s="109"/>
      <c r="DT36" s="172" t="s">
        <v>207</v>
      </c>
      <c r="DU36" s="173">
        <v>1</v>
      </c>
    </row>
    <row r="37" spans="1:125" ht="12.75" customHeight="1" thickBot="1">
      <c r="A37" s="283"/>
      <c r="B37" s="262"/>
      <c r="C37" s="263"/>
      <c r="D37" s="190"/>
      <c r="E37" s="256"/>
      <c r="F37" s="257"/>
      <c r="G37" s="258"/>
      <c r="H37" s="191"/>
      <c r="I37" s="192"/>
      <c r="J37" s="129">
        <f>IF(M37,VLOOKUP($I37,Tabelas!$E$88:$G$107,IF($H37=3,2,3),FALSE),0)</f>
        <v>0</v>
      </c>
      <c r="K37" s="129">
        <f>IF(N37,VLOOKUP($I37,Tabelas!$E$88:$G$107,IF($H37=3,2,3),FALSE),0)</f>
        <v>0</v>
      </c>
      <c r="L37" s="133">
        <f t="shared" si="2"/>
      </c>
      <c r="M37" s="126" t="b">
        <v>0</v>
      </c>
      <c r="N37" s="126" t="b">
        <v>0</v>
      </c>
      <c r="O37" s="133">
        <f t="shared" si="0"/>
        <v>0</v>
      </c>
      <c r="P37" s="133">
        <f t="shared" si="3"/>
        <v>0</v>
      </c>
      <c r="Q37" s="133">
        <f t="shared" si="1"/>
        <v>0</v>
      </c>
      <c r="R37" s="134">
        <f t="shared" si="4"/>
        <v>0</v>
      </c>
      <c r="S37" s="272"/>
      <c r="T37" s="171">
        <v>15</v>
      </c>
      <c r="U37" s="109"/>
      <c r="W37" s="109"/>
      <c r="DT37" s="172" t="s">
        <v>54</v>
      </c>
      <c r="DU37" s="173">
        <v>1</v>
      </c>
    </row>
    <row r="38" spans="1:125" ht="12.75" customHeight="1" thickBot="1">
      <c r="A38" s="283"/>
      <c r="B38" s="262"/>
      <c r="C38" s="263"/>
      <c r="D38" s="190"/>
      <c r="E38" s="256"/>
      <c r="F38" s="257"/>
      <c r="G38" s="258"/>
      <c r="H38" s="191"/>
      <c r="I38" s="192"/>
      <c r="J38" s="129">
        <f>IF(M38,VLOOKUP($I38,Tabelas!$E$88:$G$107,IF($H38=3,2,3),FALSE),0)</f>
        <v>0</v>
      </c>
      <c r="K38" s="129">
        <f>IF(N38,VLOOKUP($I38,Tabelas!$E$88:$G$107,IF($H38=3,2,3),FALSE),0)</f>
        <v>0</v>
      </c>
      <c r="L38" s="133">
        <f t="shared" si="2"/>
      </c>
      <c r="M38" s="126" t="b">
        <v>0</v>
      </c>
      <c r="N38" s="126" t="b">
        <v>0</v>
      </c>
      <c r="O38" s="133">
        <f t="shared" si="0"/>
        <v>0</v>
      </c>
      <c r="P38" s="135">
        <f t="shared" si="3"/>
        <v>0</v>
      </c>
      <c r="Q38" s="133">
        <f t="shared" si="1"/>
        <v>0</v>
      </c>
      <c r="R38" s="134">
        <f t="shared" si="4"/>
        <v>0</v>
      </c>
      <c r="S38" s="272"/>
      <c r="T38" s="171">
        <v>20</v>
      </c>
      <c r="U38" s="109"/>
      <c r="W38" s="109"/>
      <c r="DT38" s="172" t="s">
        <v>208</v>
      </c>
      <c r="DU38" s="173">
        <v>1</v>
      </c>
    </row>
    <row r="39" spans="1:125" ht="12.75" customHeight="1" thickBot="1">
      <c r="A39" s="102"/>
      <c r="B39" s="262"/>
      <c r="C39" s="263"/>
      <c r="D39" s="187"/>
      <c r="E39" s="266"/>
      <c r="F39" s="267"/>
      <c r="G39" s="268"/>
      <c r="H39" s="188"/>
      <c r="I39" s="189"/>
      <c r="J39" s="130">
        <f>IF(M39,VLOOKUP($I39,Tabelas!$E$88:$G$107,IF($H39=3,2,3),FALSE),0)</f>
        <v>0</v>
      </c>
      <c r="K39" s="130">
        <f>IF(N39,VLOOKUP($I39,Tabelas!$E$88:$G$107,IF($H39=3,2,3),FALSE),0)</f>
        <v>0</v>
      </c>
      <c r="L39" s="176">
        <f>IF(E39&lt;&gt;"",IF(I39="",VLOOKUP(E39,$DT$12:$DU$61,2,FALSE),""),"")</f>
      </c>
      <c r="M39" s="126" t="b">
        <v>0</v>
      </c>
      <c r="N39" s="126" t="b">
        <v>0</v>
      </c>
      <c r="O39" s="135">
        <f t="shared" si="0"/>
        <v>0</v>
      </c>
      <c r="P39" s="177">
        <f t="shared" si="3"/>
        <v>0</v>
      </c>
      <c r="Q39" s="135">
        <f t="shared" si="1"/>
        <v>0</v>
      </c>
      <c r="R39" s="134">
        <f t="shared" si="4"/>
        <v>0</v>
      </c>
      <c r="T39" s="171">
        <v>25</v>
      </c>
      <c r="U39" s="109"/>
      <c r="V39" s="109"/>
      <c r="W39" s="109"/>
      <c r="DT39" s="172" t="s">
        <v>48</v>
      </c>
      <c r="DU39" s="172">
        <v>1</v>
      </c>
    </row>
    <row r="40" spans="1:125" ht="15" customHeight="1" thickTop="1">
      <c r="A40" s="102"/>
      <c r="B40" s="262"/>
      <c r="C40" s="263"/>
      <c r="D40" s="122"/>
      <c r="E40" s="259"/>
      <c r="F40" s="259"/>
      <c r="G40" s="259"/>
      <c r="H40" s="123"/>
      <c r="I40" s="124"/>
      <c r="J40" s="125"/>
      <c r="K40" s="125"/>
      <c r="L40" s="124"/>
      <c r="M40" s="319" t="s">
        <v>195</v>
      </c>
      <c r="N40" s="320"/>
      <c r="O40" s="310" t="s">
        <v>196</v>
      </c>
      <c r="P40" s="310"/>
      <c r="Q40" s="310" t="s">
        <v>196</v>
      </c>
      <c r="R40" s="311"/>
      <c r="T40" s="171">
        <v>30</v>
      </c>
      <c r="U40" s="109"/>
      <c r="V40" s="109"/>
      <c r="W40" s="109"/>
      <c r="DT40" s="172" t="s">
        <v>13</v>
      </c>
      <c r="DU40" s="172">
        <v>3.5</v>
      </c>
    </row>
    <row r="41" spans="1:125" ht="15" customHeight="1" thickBot="1">
      <c r="A41" s="102"/>
      <c r="B41" s="284"/>
      <c r="C41" s="285"/>
      <c r="D41" s="144">
        <f>SUMIF(J11:J39,"&gt;0",D11:D39)</f>
        <v>0</v>
      </c>
      <c r="E41" s="110"/>
      <c r="F41" s="111"/>
      <c r="G41" s="112"/>
      <c r="H41" s="112"/>
      <c r="I41" s="110"/>
      <c r="J41" s="318"/>
      <c r="K41" s="318"/>
      <c r="L41" s="318"/>
      <c r="M41" s="136">
        <f>MAX(J11:J39)</f>
        <v>0</v>
      </c>
      <c r="N41" s="137">
        <f>MAX(K11:K39)</f>
        <v>0</v>
      </c>
      <c r="O41" s="138">
        <f>IF(M41&gt;(SUM(O11:O39)*IF($D41=0,1,VLOOKUP($D41,Tabelas!$H$87:$I$96,2,TRUE))),M41,(SUM(O11:O39)*IF($D41=0,1,VLOOKUP($D41,Tabelas!$H$87:$I$96,2,TRUE))))</f>
        <v>0</v>
      </c>
      <c r="P41" s="138">
        <f>SUM(P11:P39)</f>
        <v>0</v>
      </c>
      <c r="Q41" s="138">
        <f>IF(N41&gt;(SUM(Q11:Q39)*IF(D42=0,1,VLOOKUP(D42,Tabelas!$H$87:$I$96,2,TRUE))),N41,(SUM(Q11:Q39)*IF(D42=0,1,VLOOKUP(D42,Tabelas!$H$87:$I$96,2,TRUE))))</f>
        <v>0</v>
      </c>
      <c r="R41" s="139">
        <f>IF(L6="",0,IF(P6,IF(3.1&gt;SUM(R11:R39),3.1,SUM(R11:R39)),SUM(R11:R39)))</f>
        <v>0</v>
      </c>
      <c r="T41" s="171">
        <v>40</v>
      </c>
      <c r="U41" s="109"/>
      <c r="V41" s="109"/>
      <c r="W41" s="109"/>
      <c r="DT41" s="172" t="s">
        <v>15</v>
      </c>
      <c r="DU41" s="172">
        <v>0.001</v>
      </c>
    </row>
    <row r="42" spans="1:125" ht="15" customHeight="1" thickBot="1">
      <c r="A42" s="102"/>
      <c r="B42" s="284"/>
      <c r="C42" s="285"/>
      <c r="D42" s="144">
        <f>SUMIF(K11:K39,"&gt;0",D11:D39)</f>
        <v>0</v>
      </c>
      <c r="E42" s="113"/>
      <c r="F42" s="113"/>
      <c r="G42" s="114"/>
      <c r="H42" s="110"/>
      <c r="I42" s="110"/>
      <c r="J42" s="110"/>
      <c r="K42" s="110"/>
      <c r="L42" s="110" t="s">
        <v>197</v>
      </c>
      <c r="M42" s="316">
        <f>IF(F6=0,0,VLOOKUP(L6,Tabelas!B87:C98,2,FALSE))</f>
        <v>0</v>
      </c>
      <c r="N42" s="317"/>
      <c r="O42" s="312">
        <f>IF(L6="",0,IF(P6,IF(P41*M42&lt;1.26,(O41+1.26),(O41+P41*$M42)),(O41+P41*$M42)))</f>
        <v>0</v>
      </c>
      <c r="P42" s="313"/>
      <c r="Q42" s="303">
        <f>IF(L6="",0,IF(P6,IF(3.1&gt;(Q41+R41*M42),3.1,(Q41+R41*M42)),(Q41+R41*$M42)))</f>
        <v>0</v>
      </c>
      <c r="R42" s="304"/>
      <c r="T42" s="171">
        <v>50</v>
      </c>
      <c r="DT42" s="172" t="s">
        <v>49</v>
      </c>
      <c r="DU42" s="173">
        <v>0.09</v>
      </c>
    </row>
    <row r="43" spans="1:125" ht="15" customHeight="1" thickBot="1">
      <c r="A43" s="102"/>
      <c r="B43" s="284"/>
      <c r="C43" s="285"/>
      <c r="D43" s="269" t="s">
        <v>198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314"/>
      <c r="P43" s="315"/>
      <c r="Q43" s="305"/>
      <c r="R43" s="306"/>
      <c r="DT43" s="172" t="s">
        <v>8</v>
      </c>
      <c r="DU43" s="172">
        <v>3.5</v>
      </c>
    </row>
    <row r="44" spans="1:125" ht="12.75" customHeight="1" thickBot="1">
      <c r="A44" s="102"/>
      <c r="B44" s="260" t="s">
        <v>199</v>
      </c>
      <c r="C44" s="261"/>
      <c r="D44" s="196"/>
      <c r="E44" s="334"/>
      <c r="F44" s="335"/>
      <c r="G44" s="336"/>
      <c r="H44" s="197"/>
      <c r="I44" s="198"/>
      <c r="J44" s="128">
        <f>IF(M44,VLOOKUP($I44,Tabelas!$E$88:$G$107,IF($H44=3,2,3),FALSE),0)</f>
        <v>0</v>
      </c>
      <c r="K44" s="128">
        <f>IF(N44,VLOOKUP($I44,Tabelas!$E$88:$G$107,IF($H44=3,2,3),FALSE),0)</f>
        <v>0</v>
      </c>
      <c r="L44" s="131">
        <f>IF(E44&lt;&gt;"",IF(I44="",VLOOKUP(E44,$DT$12:$DU$61,2,FALSE),""),"")</f>
      </c>
      <c r="M44" s="126" t="b">
        <v>0</v>
      </c>
      <c r="N44" s="199" t="b">
        <v>0</v>
      </c>
      <c r="O44" s="193">
        <f aca="true" t="shared" si="5" ref="O44:O53">J44*D44</f>
        <v>0</v>
      </c>
      <c r="P44" s="140">
        <f>IF(I44&lt;&gt;"","",IF(M44,D44*L44,0))</f>
        <v>0</v>
      </c>
      <c r="Q44" s="140">
        <f aca="true" t="shared" si="6" ref="Q44:Q53">K44*D44</f>
        <v>0</v>
      </c>
      <c r="R44" s="141">
        <f>IF(I44&lt;&gt;"","",IF(N44,D44*L44,0))</f>
        <v>0</v>
      </c>
      <c r="DT44" s="172" t="s">
        <v>25</v>
      </c>
      <c r="DU44" s="174">
        <v>0.8</v>
      </c>
    </row>
    <row r="45" spans="1:125" ht="12.75" customHeight="1" thickBot="1">
      <c r="A45" s="102"/>
      <c r="B45" s="262"/>
      <c r="C45" s="263"/>
      <c r="D45" s="190"/>
      <c r="E45" s="256"/>
      <c r="F45" s="257"/>
      <c r="G45" s="258"/>
      <c r="H45" s="191"/>
      <c r="I45" s="192"/>
      <c r="J45" s="129">
        <f>IF(M45,VLOOKUP($I45,Tabelas!$E$88:$G$107,IF($H45=3,2,3),FALSE),0)</f>
        <v>0</v>
      </c>
      <c r="K45" s="129">
        <f>IF(N45,VLOOKUP($I45,Tabelas!$E$88:$G$107,IF($H45=3,2,3),FALSE),0)</f>
        <v>0</v>
      </c>
      <c r="L45" s="133">
        <f>IF(E45&lt;&gt;"",IF(I45="",VLOOKUP(E45,$DT$12:$DU$61,2,FALSE),""),"")</f>
      </c>
      <c r="M45" s="126" t="b">
        <v>0</v>
      </c>
      <c r="N45" s="199" t="b">
        <v>0</v>
      </c>
      <c r="O45" s="194">
        <f t="shared" si="5"/>
        <v>0</v>
      </c>
      <c r="P45" s="142">
        <f>IF(I45&lt;&gt;"","",IF(M45,D45*L45,0))</f>
        <v>0</v>
      </c>
      <c r="Q45" s="142">
        <f t="shared" si="6"/>
        <v>0</v>
      </c>
      <c r="R45" s="134">
        <f>IF(I45&lt;&gt;"","",IF(N45,D45*L45,0))</f>
        <v>0</v>
      </c>
      <c r="DT45" s="172" t="s">
        <v>26</v>
      </c>
      <c r="DU45" s="174">
        <v>0.1</v>
      </c>
    </row>
    <row r="46" spans="1:125" ht="12.75" customHeight="1" thickBot="1">
      <c r="A46" s="102"/>
      <c r="B46" s="262"/>
      <c r="C46" s="263"/>
      <c r="D46" s="190"/>
      <c r="E46" s="256"/>
      <c r="F46" s="257"/>
      <c r="G46" s="258"/>
      <c r="H46" s="191"/>
      <c r="I46" s="192"/>
      <c r="J46" s="129">
        <f>IF(M46,VLOOKUP($I46,Tabelas!$E$88:$G$107,IF($H46=3,2,3),FALSE),0)</f>
        <v>0</v>
      </c>
      <c r="K46" s="129">
        <f>IF(N46,VLOOKUP($I46,Tabelas!$E$88:$G$107,IF($H46=3,2,3),FALSE),0)</f>
        <v>0</v>
      </c>
      <c r="L46" s="133">
        <f aca="true" t="shared" si="7" ref="L46:L52">IF(E46&lt;&gt;"",IF(I46="",VLOOKUP(E46,$DT$12:$DU$61,2,FALSE),""),"")</f>
      </c>
      <c r="M46" s="126" t="b">
        <v>0</v>
      </c>
      <c r="N46" s="199" t="b">
        <v>0</v>
      </c>
      <c r="O46" s="194">
        <f t="shared" si="5"/>
        <v>0</v>
      </c>
      <c r="P46" s="142">
        <f aca="true" t="shared" si="8" ref="P46:P53">IF(I46&lt;&gt;"","",IF(M46,D46*L46,0))</f>
        <v>0</v>
      </c>
      <c r="Q46" s="142">
        <f t="shared" si="6"/>
        <v>0</v>
      </c>
      <c r="R46" s="134">
        <f aca="true" t="shared" si="9" ref="R46:R53">IF(I46&lt;&gt;"","",IF(N46,D46*L46,0))</f>
        <v>0</v>
      </c>
      <c r="DT46" s="172" t="s">
        <v>14</v>
      </c>
      <c r="DU46" s="172">
        <v>0.1</v>
      </c>
    </row>
    <row r="47" spans="1:125" ht="12.75" customHeight="1" thickBot="1">
      <c r="A47" s="102"/>
      <c r="B47" s="262"/>
      <c r="C47" s="263"/>
      <c r="D47" s="190"/>
      <c r="E47" s="256"/>
      <c r="F47" s="257"/>
      <c r="G47" s="258"/>
      <c r="H47" s="191"/>
      <c r="I47" s="192"/>
      <c r="J47" s="129">
        <f>IF(M47,VLOOKUP($I47,Tabelas!$E$88:$G$107,IF($H47=3,2,3),FALSE),0)</f>
        <v>0</v>
      </c>
      <c r="K47" s="129">
        <f>IF(N47,VLOOKUP($I47,Tabelas!$E$88:$G$107,IF($H47=3,2,3),FALSE),0)</f>
        <v>0</v>
      </c>
      <c r="L47" s="133">
        <f t="shared" si="7"/>
      </c>
      <c r="M47" s="126" t="b">
        <v>0</v>
      </c>
      <c r="N47" s="199" t="b">
        <v>0</v>
      </c>
      <c r="O47" s="194">
        <f t="shared" si="5"/>
        <v>0</v>
      </c>
      <c r="P47" s="142">
        <f t="shared" si="8"/>
        <v>0</v>
      </c>
      <c r="Q47" s="142">
        <f t="shared" si="6"/>
        <v>0</v>
      </c>
      <c r="R47" s="134">
        <f t="shared" si="9"/>
        <v>0</v>
      </c>
      <c r="DT47" s="172" t="s">
        <v>16</v>
      </c>
      <c r="DU47" s="172">
        <v>0.1</v>
      </c>
    </row>
    <row r="48" spans="1:125" ht="12.75" customHeight="1" thickBot="1">
      <c r="A48" s="102"/>
      <c r="B48" s="262"/>
      <c r="C48" s="263"/>
      <c r="D48" s="190"/>
      <c r="E48" s="256"/>
      <c r="F48" s="257"/>
      <c r="G48" s="258"/>
      <c r="H48" s="191"/>
      <c r="I48" s="192"/>
      <c r="J48" s="129">
        <f>IF(M48,VLOOKUP($I48,Tabelas!$E$88:$G$107,IF($H48=3,2,3),FALSE),0)</f>
        <v>0</v>
      </c>
      <c r="K48" s="129">
        <f>IF(N48,VLOOKUP($I48,Tabelas!$E$88:$G$107,IF($H48=3,2,3),FALSE),0)</f>
        <v>0</v>
      </c>
      <c r="L48" s="133">
        <f t="shared" si="7"/>
      </c>
      <c r="M48" s="126" t="b">
        <v>0</v>
      </c>
      <c r="N48" s="199" t="b">
        <v>0</v>
      </c>
      <c r="O48" s="194">
        <f t="shared" si="5"/>
        <v>0</v>
      </c>
      <c r="P48" s="142">
        <f t="shared" si="8"/>
        <v>0</v>
      </c>
      <c r="Q48" s="142">
        <f t="shared" si="6"/>
        <v>0</v>
      </c>
      <c r="R48" s="134">
        <f t="shared" si="9"/>
        <v>0</v>
      </c>
      <c r="DT48" s="172" t="s">
        <v>27</v>
      </c>
      <c r="DU48" s="172">
        <v>0.1</v>
      </c>
    </row>
    <row r="49" spans="1:125" ht="12.75" customHeight="1" thickBot="1">
      <c r="A49" s="102"/>
      <c r="B49" s="262"/>
      <c r="C49" s="263"/>
      <c r="D49" s="190"/>
      <c r="E49" s="256"/>
      <c r="F49" s="257"/>
      <c r="G49" s="258"/>
      <c r="H49" s="191"/>
      <c r="I49" s="192"/>
      <c r="J49" s="129">
        <f>IF(M49,VLOOKUP($I49,Tabelas!$E$88:$G$107,IF($H49=3,2,3),FALSE),0)</f>
        <v>0</v>
      </c>
      <c r="K49" s="129">
        <f>IF(N49,VLOOKUP($I49,Tabelas!$E$88:$G$107,IF($H49=3,2,3),FALSE),0)</f>
        <v>0</v>
      </c>
      <c r="L49" s="133">
        <f t="shared" si="7"/>
      </c>
      <c r="M49" s="126" t="b">
        <v>0</v>
      </c>
      <c r="N49" s="199" t="b">
        <v>0</v>
      </c>
      <c r="O49" s="194">
        <f t="shared" si="5"/>
        <v>0</v>
      </c>
      <c r="P49" s="142">
        <f t="shared" si="8"/>
        <v>0</v>
      </c>
      <c r="Q49" s="142">
        <f t="shared" si="6"/>
        <v>0</v>
      </c>
      <c r="R49" s="134">
        <f t="shared" si="9"/>
        <v>0</v>
      </c>
      <c r="DT49" s="172"/>
      <c r="DU49" s="173"/>
    </row>
    <row r="50" spans="1:125" ht="12.75" customHeight="1" thickBot="1">
      <c r="A50" s="102"/>
      <c r="B50" s="262"/>
      <c r="C50" s="263"/>
      <c r="D50" s="190"/>
      <c r="E50" s="256"/>
      <c r="F50" s="257"/>
      <c r="G50" s="258"/>
      <c r="H50" s="191"/>
      <c r="I50" s="192"/>
      <c r="J50" s="129">
        <f>IF(M50,VLOOKUP($I50,Tabelas!$E$88:$G$107,IF($H50=3,2,3),FALSE),0)</f>
        <v>0</v>
      </c>
      <c r="K50" s="129">
        <f>IF(N50,VLOOKUP($I50,Tabelas!$E$88:$G$107,IF($H50=3,2,3),FALSE),0)</f>
        <v>0</v>
      </c>
      <c r="L50" s="133">
        <f t="shared" si="7"/>
      </c>
      <c r="M50" s="126" t="b">
        <v>0</v>
      </c>
      <c r="N50" s="199" t="b">
        <v>0</v>
      </c>
      <c r="O50" s="194">
        <f t="shared" si="5"/>
        <v>0</v>
      </c>
      <c r="P50" s="142">
        <f t="shared" si="8"/>
        <v>0</v>
      </c>
      <c r="Q50" s="142">
        <f t="shared" si="6"/>
        <v>0</v>
      </c>
      <c r="R50" s="134">
        <f t="shared" si="9"/>
        <v>0</v>
      </c>
      <c r="DT50" s="172"/>
      <c r="DU50" s="173"/>
    </row>
    <row r="51" spans="1:125" ht="12.75" customHeight="1" thickBot="1">
      <c r="A51" s="102"/>
      <c r="B51" s="262"/>
      <c r="C51" s="263"/>
      <c r="D51" s="190"/>
      <c r="E51" s="256"/>
      <c r="F51" s="257"/>
      <c r="G51" s="258"/>
      <c r="H51" s="191"/>
      <c r="I51" s="192"/>
      <c r="J51" s="129">
        <f>IF(M51,VLOOKUP($I51,Tabelas!$E$88:$G$107,IF($H51=3,2,3),FALSE),0)</f>
        <v>0</v>
      </c>
      <c r="K51" s="129">
        <f>IF(N51,VLOOKUP($I51,Tabelas!$E$88:$G$107,IF($H51=3,2,3),FALSE),0)</f>
        <v>0</v>
      </c>
      <c r="L51" s="133">
        <f t="shared" si="7"/>
      </c>
      <c r="M51" s="126" t="b">
        <v>0</v>
      </c>
      <c r="N51" s="199" t="b">
        <v>0</v>
      </c>
      <c r="O51" s="194">
        <f t="shared" si="5"/>
        <v>0</v>
      </c>
      <c r="P51" s="142">
        <f t="shared" si="8"/>
        <v>0</v>
      </c>
      <c r="Q51" s="142">
        <f t="shared" si="6"/>
        <v>0</v>
      </c>
      <c r="R51" s="134">
        <f t="shared" si="9"/>
        <v>0</v>
      </c>
      <c r="DT51" s="172"/>
      <c r="DU51" s="173"/>
    </row>
    <row r="52" spans="1:125" ht="12.75" customHeight="1" thickBot="1">
      <c r="A52" s="102"/>
      <c r="B52" s="262"/>
      <c r="C52" s="263"/>
      <c r="D52" s="190"/>
      <c r="E52" s="256"/>
      <c r="F52" s="257"/>
      <c r="G52" s="258"/>
      <c r="H52" s="191"/>
      <c r="I52" s="192"/>
      <c r="J52" s="129">
        <f>IF(M52,VLOOKUP($I52,Tabelas!$E$88:$G$107,IF($H52=3,2,3),FALSE),0)</f>
        <v>0</v>
      </c>
      <c r="K52" s="129">
        <f>IF(N52,VLOOKUP($I52,Tabelas!$E$88:$G$107,IF($H52=3,2,3),FALSE),0)</f>
        <v>0</v>
      </c>
      <c r="L52" s="133">
        <f t="shared" si="7"/>
      </c>
      <c r="M52" s="126" t="b">
        <v>0</v>
      </c>
      <c r="N52" s="199" t="b">
        <v>0</v>
      </c>
      <c r="O52" s="194">
        <f t="shared" si="5"/>
        <v>0</v>
      </c>
      <c r="P52" s="142">
        <f t="shared" si="8"/>
        <v>0</v>
      </c>
      <c r="Q52" s="142">
        <f t="shared" si="6"/>
        <v>0</v>
      </c>
      <c r="R52" s="134">
        <f t="shared" si="9"/>
        <v>0</v>
      </c>
      <c r="DT52" s="172"/>
      <c r="DU52" s="173"/>
    </row>
    <row r="53" spans="1:125" ht="12.75" customHeight="1" thickBot="1">
      <c r="A53" s="102"/>
      <c r="B53" s="262"/>
      <c r="C53" s="263"/>
      <c r="D53" s="200"/>
      <c r="E53" s="337"/>
      <c r="F53" s="338"/>
      <c r="G53" s="339"/>
      <c r="H53" s="201"/>
      <c r="I53" s="202"/>
      <c r="J53" s="203">
        <f>IF(M53,VLOOKUP($I53,Tabelas!$E$88:$G$107,IF($H53=3,2,3),FALSE),0)</f>
        <v>0</v>
      </c>
      <c r="K53" s="203">
        <f>IF(N53,VLOOKUP($I53,Tabelas!$E$88:$G$107,IF($H53=3,2,3),FALSE),0)</f>
        <v>0</v>
      </c>
      <c r="L53" s="204">
        <f>IF(E53&lt;&gt;"",IF(I53="",VLOOKUP(E53,$DT$12:$DU$61,2,FALSE),""),"")</f>
      </c>
      <c r="M53" s="126" t="b">
        <v>0</v>
      </c>
      <c r="N53" s="199" t="b">
        <v>0</v>
      </c>
      <c r="O53" s="195">
        <f t="shared" si="5"/>
        <v>0</v>
      </c>
      <c r="P53" s="142">
        <f t="shared" si="8"/>
        <v>0</v>
      </c>
      <c r="Q53" s="143">
        <f t="shared" si="6"/>
        <v>0</v>
      </c>
      <c r="R53" s="134">
        <f t="shared" si="9"/>
        <v>0</v>
      </c>
      <c r="DT53" s="172"/>
      <c r="DU53" s="173"/>
    </row>
    <row r="54" spans="1:125" ht="16.5" customHeight="1" thickBot="1">
      <c r="A54" s="102"/>
      <c r="B54" s="264"/>
      <c r="C54" s="265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307">
        <f>SUM(O44:P53)</f>
        <v>0</v>
      </c>
      <c r="P54" s="308"/>
      <c r="Q54" s="307">
        <f>SUM(Q44:R53)</f>
        <v>0</v>
      </c>
      <c r="R54" s="309"/>
      <c r="DT54" s="172"/>
      <c r="DU54" s="173"/>
    </row>
    <row r="55" spans="1:125" ht="12.75" customHeight="1" thickBot="1">
      <c r="A55" s="102"/>
      <c r="B55" s="290">
        <v>1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DT55" s="172"/>
      <c r="DU55" s="173"/>
    </row>
    <row r="56" spans="1:125" ht="12.75" customHeight="1">
      <c r="A56" s="102"/>
      <c r="B56" s="343" t="s">
        <v>203</v>
      </c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115"/>
      <c r="O56" s="312">
        <f>O42+O54</f>
        <v>0</v>
      </c>
      <c r="P56" s="313"/>
      <c r="Q56" s="312">
        <f>Q42+Q54</f>
        <v>0</v>
      </c>
      <c r="R56" s="340"/>
      <c r="DT56" s="172"/>
      <c r="DU56" s="173"/>
    </row>
    <row r="57" spans="1:125" ht="12.75" customHeight="1" thickBot="1">
      <c r="A57" s="102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115"/>
      <c r="O57" s="314"/>
      <c r="P57" s="315"/>
      <c r="Q57" s="341"/>
      <c r="R57" s="342"/>
      <c r="DT57" s="172"/>
      <c r="DU57" s="173"/>
    </row>
    <row r="58" spans="1:125" ht="12.75" customHeight="1" thickBot="1">
      <c r="A58" s="102"/>
      <c r="B58" s="344">
        <v>1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DT58" s="172"/>
      <c r="DU58" s="173"/>
    </row>
    <row r="59" spans="1:125" ht="13.5" thickTop="1">
      <c r="A59" s="102"/>
      <c r="B59" s="277"/>
      <c r="C59" s="278"/>
      <c r="D59" s="207" t="s">
        <v>200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6"/>
      <c r="DT59" s="172"/>
      <c r="DU59" s="174"/>
    </row>
    <row r="60" spans="1:125" ht="12.75">
      <c r="A60" s="102"/>
      <c r="B60" s="279"/>
      <c r="C60" s="280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8"/>
      <c r="DT60" s="172"/>
      <c r="DU60" s="173"/>
    </row>
    <row r="61" spans="1:125" ht="13.5" thickBot="1">
      <c r="A61" s="102"/>
      <c r="B61" s="281"/>
      <c r="C61" s="282"/>
      <c r="D61" s="287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9"/>
      <c r="DT61" s="172"/>
      <c r="DU61" s="173"/>
    </row>
    <row r="62" ht="13.5" thickTop="1"/>
  </sheetData>
  <sheetProtection password="9675" sheet="1" objects="1" scenarios="1"/>
  <mergeCells count="92">
    <mergeCell ref="O56:P57"/>
    <mergeCell ref="Q56:R57"/>
    <mergeCell ref="B56:M57"/>
    <mergeCell ref="B58:R58"/>
    <mergeCell ref="E45:G45"/>
    <mergeCell ref="E44:G44"/>
    <mergeCell ref="E52:G52"/>
    <mergeCell ref="E53:G53"/>
    <mergeCell ref="E47:G47"/>
    <mergeCell ref="E48:G48"/>
    <mergeCell ref="E49:G49"/>
    <mergeCell ref="E50:G50"/>
    <mergeCell ref="E46:G46"/>
    <mergeCell ref="E51:G51"/>
    <mergeCell ref="M6:O6"/>
    <mergeCell ref="Q9:R9"/>
    <mergeCell ref="L9:L10"/>
    <mergeCell ref="I9:I10"/>
    <mergeCell ref="E11:G11"/>
    <mergeCell ref="E8:G10"/>
    <mergeCell ref="B7:R7"/>
    <mergeCell ref="O9:P9"/>
    <mergeCell ref="M9:M10"/>
    <mergeCell ref="N9:N10"/>
    <mergeCell ref="J9:J10"/>
    <mergeCell ref="E12:G12"/>
    <mergeCell ref="E13:G13"/>
    <mergeCell ref="M42:N42"/>
    <mergeCell ref="E14:G14"/>
    <mergeCell ref="J41:L41"/>
    <mergeCell ref="M40:N40"/>
    <mergeCell ref="E19:G19"/>
    <mergeCell ref="E20:G20"/>
    <mergeCell ref="E21:G21"/>
    <mergeCell ref="E22:G22"/>
    <mergeCell ref="Q42:R43"/>
    <mergeCell ref="O54:P54"/>
    <mergeCell ref="Q54:R54"/>
    <mergeCell ref="O40:P40"/>
    <mergeCell ref="Q40:R40"/>
    <mergeCell ref="O42:P43"/>
    <mergeCell ref="B5:E5"/>
    <mergeCell ref="F5:L5"/>
    <mergeCell ref="H6:I6"/>
    <mergeCell ref="B8:C10"/>
    <mergeCell ref="B6:E6"/>
    <mergeCell ref="F6:G6"/>
    <mergeCell ref="B59:C61"/>
    <mergeCell ref="A1:A38"/>
    <mergeCell ref="E29:G29"/>
    <mergeCell ref="E30:G30"/>
    <mergeCell ref="E34:G34"/>
    <mergeCell ref="B41:C43"/>
    <mergeCell ref="D54:N54"/>
    <mergeCell ref="D61:R61"/>
    <mergeCell ref="B55:R55"/>
    <mergeCell ref="B4:E4"/>
    <mergeCell ref="S1:S38"/>
    <mergeCell ref="E37:G37"/>
    <mergeCell ref="E38:G38"/>
    <mergeCell ref="M5:N5"/>
    <mergeCell ref="E25:G25"/>
    <mergeCell ref="E26:G26"/>
    <mergeCell ref="E27:G27"/>
    <mergeCell ref="E15:G15"/>
    <mergeCell ref="H8:H10"/>
    <mergeCell ref="E36:G36"/>
    <mergeCell ref="E33:G33"/>
    <mergeCell ref="E40:G40"/>
    <mergeCell ref="B44:C54"/>
    <mergeCell ref="E35:G35"/>
    <mergeCell ref="E39:G39"/>
    <mergeCell ref="D43:N43"/>
    <mergeCell ref="B11:C40"/>
    <mergeCell ref="E32:G32"/>
    <mergeCell ref="E24:G24"/>
    <mergeCell ref="E31:G31"/>
    <mergeCell ref="E28:G28"/>
    <mergeCell ref="E16:G16"/>
    <mergeCell ref="E17:G17"/>
    <mergeCell ref="E18:G18"/>
    <mergeCell ref="E23:G23"/>
    <mergeCell ref="F4:N4"/>
    <mergeCell ref="P4:Q4"/>
    <mergeCell ref="B1:R2"/>
    <mergeCell ref="D8:D10"/>
    <mergeCell ref="K9:K10"/>
    <mergeCell ref="O5:Q5"/>
    <mergeCell ref="M8:N8"/>
    <mergeCell ref="O8:R8"/>
    <mergeCell ref="B3:R3"/>
    <mergeCell ref="I8:L8"/>
  </mergeCells>
  <conditionalFormatting sqref="M41:N42 R41:R54 R11:R39 P41 O11:O41 Q56:R57 Q11:Q43 P11:P39 O44:Q54">
    <cfRule type="cellIs" priority="1" dxfId="0" operator="equal" stopIfTrue="1">
      <formula>0</formula>
    </cfRule>
  </conditionalFormatting>
  <conditionalFormatting sqref="O42:P43 O56:P57">
    <cfRule type="cellIs" priority="2" dxfId="0" operator="equal" stopIfTrue="1">
      <formula>0</formula>
    </cfRule>
    <cfRule type="cellIs" priority="3" dxfId="0" operator="equal" stopIfTrue="1">
      <formula>3.10111</formula>
    </cfRule>
  </conditionalFormatting>
  <conditionalFormatting sqref="D11:D39 D44:D53">
    <cfRule type="expression" priority="4" dxfId="1" stopIfTrue="1">
      <formula>AND(E11&lt;&gt;"",D11="")</formula>
    </cfRule>
  </conditionalFormatting>
  <conditionalFormatting sqref="I11:I39 I44:I53">
    <cfRule type="expression" priority="5" dxfId="1" stopIfTrue="1">
      <formula>OR(AND(E11="MOTOR",I11=""),AND(E11&lt;&gt;"MOTOR",I11&lt;&gt;""))</formula>
    </cfRule>
  </conditionalFormatting>
  <conditionalFormatting sqref="H11:H39 H44:H53">
    <cfRule type="expression" priority="6" dxfId="1" stopIfTrue="1">
      <formula>OR(AND(I11&lt;&gt;"",H11=""),AND(E11&lt;&gt;"MOTOR",H11&lt;&gt;""),AND(E11="MOTOR",H11=""))</formula>
    </cfRule>
  </conditionalFormatting>
  <conditionalFormatting sqref="M11:M39 M44:M53">
    <cfRule type="expression" priority="7" dxfId="2" stopIfTrue="1">
      <formula>AND(E11&lt;&gt;"",AND(M11=FALSE,N11=FALSE))</formula>
    </cfRule>
  </conditionalFormatting>
  <conditionalFormatting sqref="N11:N39 N44:N53">
    <cfRule type="expression" priority="8" dxfId="2" stopIfTrue="1">
      <formula>AND(E11&lt;&gt;"",AND(M11=FALSE,N11=FALSE))</formula>
    </cfRule>
  </conditionalFormatting>
  <conditionalFormatting sqref="F6:G6">
    <cfRule type="expression" priority="9" dxfId="3" stopIfTrue="1">
      <formula>$F$6=""</formula>
    </cfRule>
  </conditionalFormatting>
  <dataValidations count="4">
    <dataValidation type="list" allowBlank="1" showInputMessage="1" showErrorMessage="1" sqref="I44:I53 I11:I39">
      <formula1>$T$24:$T$42</formula1>
    </dataValidation>
    <dataValidation type="list" allowBlank="1" showInputMessage="1" showErrorMessage="1" sqref="F6:G6">
      <formula1>$U$4:$U$15</formula1>
    </dataValidation>
    <dataValidation type="list" allowBlank="1" showInputMessage="1" showErrorMessage="1" promptTitle="Cálculo de Tipo de Fornecimento" prompt="Selecione a carga." errorTitle="Cálculo de Tipo de Fornecimento" error="Esta carga não está cadastrada. Cadastre-a na tabela ao lado." sqref="E44:G53 E11:E39 F11:G11">
      <formula1>$DT$12:$DT$61</formula1>
    </dataValidation>
    <dataValidation type="list" allowBlank="1" showInputMessage="1" showErrorMessage="1" sqref="H44:H53 H11:H39">
      <formula1>$AE$3:$AE$6</formula1>
    </dataValidation>
  </dataValidations>
  <printOptions/>
  <pageMargins left="0.11811023622047245" right="0" top="0.1968503937007874" bottom="0" header="0" footer="0.07874015748031496"/>
  <pageSetup fitToHeight="1" fitToWidth="1" horizontalDpi="300" verticalDpi="300" orientation="portrait" paperSize="9" scale="9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1:J109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27.7109375" style="0" customWidth="1"/>
    <col min="3" max="3" width="14.140625" style="0" bestFit="1" customWidth="1"/>
  </cols>
  <sheetData>
    <row r="1" ht="26.25">
      <c r="A1" s="6" t="str">
        <f>Calc!A1</f>
        <v>Cálculo de Tipo de Fornecimento</v>
      </c>
    </row>
    <row r="2" ht="12.75">
      <c r="A2" t="s">
        <v>62</v>
      </c>
    </row>
    <row r="4" spans="1:4" ht="12.75">
      <c r="A4" t="s">
        <v>76</v>
      </c>
      <c r="D4">
        <v>2200</v>
      </c>
    </row>
    <row r="12" spans="1:9" ht="12.75">
      <c r="A12" s="345" t="s">
        <v>66</v>
      </c>
      <c r="B12" s="345"/>
      <c r="C12" s="345"/>
      <c r="D12" s="345"/>
      <c r="E12" s="345"/>
      <c r="F12" s="345"/>
      <c r="G12" s="345" t="s">
        <v>133</v>
      </c>
      <c r="H12" s="345"/>
      <c r="I12" s="345"/>
    </row>
    <row r="13" spans="1:9" ht="12.75">
      <c r="A13" s="3" t="s">
        <v>63</v>
      </c>
      <c r="B13" s="3" t="s">
        <v>65</v>
      </c>
      <c r="C13" s="8" t="s">
        <v>67</v>
      </c>
      <c r="D13" s="8" t="s">
        <v>68</v>
      </c>
      <c r="E13" s="8" t="s">
        <v>67</v>
      </c>
      <c r="F13" s="8" t="s">
        <v>68</v>
      </c>
      <c r="G13" s="8" t="s">
        <v>134</v>
      </c>
      <c r="H13" s="8" t="s">
        <v>135</v>
      </c>
      <c r="I13" s="8" t="s">
        <v>136</v>
      </c>
    </row>
    <row r="14" spans="1:9" ht="12.75">
      <c r="A14" s="26" t="s">
        <v>64</v>
      </c>
      <c r="B14" s="8" t="s">
        <v>71</v>
      </c>
      <c r="C14" s="8">
        <v>0</v>
      </c>
      <c r="D14" s="8">
        <v>15</v>
      </c>
      <c r="E14" s="26" t="s">
        <v>69</v>
      </c>
      <c r="F14" s="26" t="s">
        <v>69</v>
      </c>
      <c r="G14" s="8">
        <v>3</v>
      </c>
      <c r="H14" s="8">
        <v>0</v>
      </c>
      <c r="I14" s="8">
        <v>0</v>
      </c>
    </row>
    <row r="15" spans="1:9" ht="12.75">
      <c r="A15" s="26" t="s">
        <v>64</v>
      </c>
      <c r="B15" s="8" t="s">
        <v>72</v>
      </c>
      <c r="C15" s="8">
        <v>15</v>
      </c>
      <c r="D15" s="8">
        <v>25</v>
      </c>
      <c r="E15" s="26" t="s">
        <v>69</v>
      </c>
      <c r="F15" s="26" t="s">
        <v>69</v>
      </c>
      <c r="G15" s="8">
        <v>3</v>
      </c>
      <c r="H15" s="8">
        <v>5</v>
      </c>
      <c r="I15" s="8">
        <v>0</v>
      </c>
    </row>
    <row r="16" spans="1:9" ht="12.75">
      <c r="A16" s="26" t="s">
        <v>64</v>
      </c>
      <c r="B16" s="8" t="s">
        <v>211</v>
      </c>
      <c r="C16" s="8">
        <v>25</v>
      </c>
      <c r="D16" s="8">
        <v>75</v>
      </c>
      <c r="E16" s="8">
        <v>0</v>
      </c>
      <c r="F16" s="8">
        <v>19</v>
      </c>
      <c r="G16" s="8">
        <v>2</v>
      </c>
      <c r="H16" s="8">
        <v>3</v>
      </c>
      <c r="I16" s="8">
        <v>15</v>
      </c>
    </row>
    <row r="17" spans="1:9" ht="12.75">
      <c r="A17" s="26" t="s">
        <v>64</v>
      </c>
      <c r="B17" s="8" t="s">
        <v>212</v>
      </c>
      <c r="C17" s="8">
        <v>25</v>
      </c>
      <c r="D17" s="8">
        <v>75</v>
      </c>
      <c r="E17" s="8">
        <v>19</v>
      </c>
      <c r="F17" s="8">
        <v>26</v>
      </c>
      <c r="G17" s="8">
        <v>3</v>
      </c>
      <c r="H17" s="8">
        <v>5</v>
      </c>
      <c r="I17" s="8">
        <v>20</v>
      </c>
    </row>
    <row r="18" spans="1:9" ht="12.75">
      <c r="A18" s="26" t="s">
        <v>64</v>
      </c>
      <c r="B18" s="8" t="s">
        <v>213</v>
      </c>
      <c r="C18" s="8">
        <v>25</v>
      </c>
      <c r="D18" s="8">
        <v>75</v>
      </c>
      <c r="E18" s="8">
        <v>26</v>
      </c>
      <c r="F18" s="8">
        <v>32</v>
      </c>
      <c r="G18" s="8">
        <v>3</v>
      </c>
      <c r="H18" s="8">
        <v>5</v>
      </c>
      <c r="I18" s="8">
        <v>25</v>
      </c>
    </row>
    <row r="19" spans="1:9" ht="12.75">
      <c r="A19" s="26" t="s">
        <v>64</v>
      </c>
      <c r="B19" s="8" t="s">
        <v>214</v>
      </c>
      <c r="C19" s="8">
        <v>25</v>
      </c>
      <c r="D19" s="8">
        <v>75</v>
      </c>
      <c r="E19" s="8">
        <v>32</v>
      </c>
      <c r="F19" s="8">
        <v>46</v>
      </c>
      <c r="G19" s="8">
        <v>5</v>
      </c>
      <c r="H19" s="8">
        <v>10</v>
      </c>
      <c r="I19" s="8">
        <v>30</v>
      </c>
    </row>
    <row r="20" spans="1:9" ht="12.75">
      <c r="A20" s="26" t="s">
        <v>64</v>
      </c>
      <c r="B20" s="8" t="s">
        <v>215</v>
      </c>
      <c r="C20" s="8">
        <v>25</v>
      </c>
      <c r="D20" s="8">
        <v>75</v>
      </c>
      <c r="E20" s="8">
        <v>46</v>
      </c>
      <c r="F20" s="8">
        <v>66</v>
      </c>
      <c r="G20" s="8">
        <v>7.5</v>
      </c>
      <c r="H20" s="8">
        <v>12</v>
      </c>
      <c r="I20" s="8">
        <v>40</v>
      </c>
    </row>
    <row r="21" spans="1:9" ht="12.75">
      <c r="A21" s="26" t="s">
        <v>64</v>
      </c>
      <c r="B21" s="8" t="s">
        <v>216</v>
      </c>
      <c r="C21" s="8">
        <v>25</v>
      </c>
      <c r="D21" s="8">
        <v>75</v>
      </c>
      <c r="E21" s="8">
        <v>66</v>
      </c>
      <c r="F21" s="8">
        <v>82</v>
      </c>
      <c r="G21" s="8">
        <v>7.5</v>
      </c>
      <c r="H21" s="8">
        <v>12</v>
      </c>
      <c r="I21" s="8">
        <v>50</v>
      </c>
    </row>
    <row r="22" spans="1:9" ht="12.75">
      <c r="A22" s="26" t="s">
        <v>64</v>
      </c>
      <c r="B22" s="8" t="s">
        <v>217</v>
      </c>
      <c r="C22" s="8">
        <v>25</v>
      </c>
      <c r="D22" s="8">
        <v>75</v>
      </c>
      <c r="E22" s="8">
        <v>82</v>
      </c>
      <c r="F22" s="8">
        <v>99</v>
      </c>
      <c r="G22" s="8">
        <v>0</v>
      </c>
      <c r="H22" s="8">
        <v>0</v>
      </c>
      <c r="I22" s="8">
        <v>0</v>
      </c>
    </row>
    <row r="23" spans="1:9" ht="12.75">
      <c r="A23" s="26" t="s">
        <v>64</v>
      </c>
      <c r="B23" s="8" t="s">
        <v>218</v>
      </c>
      <c r="C23" s="8">
        <v>25</v>
      </c>
      <c r="D23" s="8">
        <v>75</v>
      </c>
      <c r="E23" s="8">
        <v>99</v>
      </c>
      <c r="F23" s="8">
        <v>115</v>
      </c>
      <c r="G23" s="8">
        <v>0</v>
      </c>
      <c r="H23" s="8">
        <v>0</v>
      </c>
      <c r="I23" s="8">
        <v>0</v>
      </c>
    </row>
    <row r="24" spans="1:9" ht="12.75">
      <c r="A24" s="26" t="s">
        <v>70</v>
      </c>
      <c r="B24" s="8" t="s">
        <v>71</v>
      </c>
      <c r="C24" s="8">
        <v>0</v>
      </c>
      <c r="D24" s="8">
        <v>15</v>
      </c>
      <c r="E24" s="26" t="s">
        <v>69</v>
      </c>
      <c r="F24" s="26" t="s">
        <v>69</v>
      </c>
      <c r="G24" s="8">
        <v>3</v>
      </c>
      <c r="H24" s="8">
        <v>0</v>
      </c>
      <c r="I24" s="8">
        <v>0</v>
      </c>
    </row>
    <row r="25" spans="1:9" ht="12.75">
      <c r="A25" s="26" t="s">
        <v>70</v>
      </c>
      <c r="B25" s="8" t="s">
        <v>73</v>
      </c>
      <c r="C25" s="8">
        <v>0</v>
      </c>
      <c r="D25" s="8">
        <v>15</v>
      </c>
      <c r="E25" s="26">
        <v>0</v>
      </c>
      <c r="F25" s="26">
        <v>18</v>
      </c>
      <c r="G25" s="8">
        <v>3</v>
      </c>
      <c r="H25" s="8">
        <v>7.5</v>
      </c>
      <c r="I25" s="8">
        <v>0</v>
      </c>
    </row>
    <row r="26" spans="1:9" ht="12.75">
      <c r="A26" s="26" t="s">
        <v>70</v>
      </c>
      <c r="B26" s="8" t="s">
        <v>74</v>
      </c>
      <c r="C26" s="8">
        <v>15</v>
      </c>
      <c r="D26" s="8">
        <v>25</v>
      </c>
      <c r="E26" s="26">
        <v>18</v>
      </c>
      <c r="F26" s="26">
        <v>30</v>
      </c>
      <c r="G26" s="8">
        <v>3</v>
      </c>
      <c r="H26" s="8">
        <v>7.5</v>
      </c>
      <c r="I26" s="8">
        <v>0</v>
      </c>
    </row>
    <row r="27" spans="1:9" ht="12.75">
      <c r="A27" s="26"/>
      <c r="B27" s="8"/>
      <c r="C27" s="8"/>
      <c r="D27" s="8"/>
      <c r="E27" s="26"/>
      <c r="F27" s="26"/>
      <c r="G27" s="8"/>
      <c r="H27" s="8"/>
      <c r="I27" s="8"/>
    </row>
    <row r="31" ht="12.75">
      <c r="A31" s="1" t="s">
        <v>94</v>
      </c>
    </row>
    <row r="32" ht="12.75">
      <c r="A32" t="s">
        <v>95</v>
      </c>
    </row>
    <row r="33" spans="1:2" ht="12.75">
      <c r="A33" s="11" t="s">
        <v>96</v>
      </c>
      <c r="B33" s="11" t="s">
        <v>97</v>
      </c>
    </row>
    <row r="34" spans="1:2" ht="12.75">
      <c r="A34" s="8">
        <v>1</v>
      </c>
      <c r="B34" s="8">
        <v>1</v>
      </c>
    </row>
    <row r="35" spans="1:2" ht="12.75">
      <c r="A35" s="8">
        <v>2</v>
      </c>
      <c r="B35" s="8">
        <v>0.75</v>
      </c>
    </row>
    <row r="36" spans="1:2" ht="12.75">
      <c r="A36" s="8">
        <v>3</v>
      </c>
      <c r="B36" s="8">
        <v>0.7</v>
      </c>
    </row>
    <row r="37" spans="1:2" ht="12.75">
      <c r="A37" s="8">
        <v>4</v>
      </c>
      <c r="B37" s="8">
        <v>0.66</v>
      </c>
    </row>
    <row r="38" spans="1:2" ht="12.75">
      <c r="A38" s="8">
        <v>5</v>
      </c>
      <c r="B38" s="8">
        <v>0.62</v>
      </c>
    </row>
    <row r="39" spans="1:2" ht="12.75">
      <c r="A39" s="8">
        <v>6</v>
      </c>
      <c r="B39" s="8">
        <v>0.59</v>
      </c>
    </row>
    <row r="40" spans="1:2" ht="12.75">
      <c r="A40" s="8">
        <v>7</v>
      </c>
      <c r="B40" s="8">
        <v>0.56</v>
      </c>
    </row>
    <row r="41" spans="1:2" ht="12.75">
      <c r="A41" s="8">
        <v>8</v>
      </c>
      <c r="B41" s="8">
        <v>0.53</v>
      </c>
    </row>
    <row r="42" spans="1:2" ht="12.75">
      <c r="A42" s="8">
        <v>9</v>
      </c>
      <c r="B42" s="8">
        <v>0.51</v>
      </c>
    </row>
    <row r="43" spans="1:2" ht="12.75">
      <c r="A43" s="8">
        <v>10</v>
      </c>
      <c r="B43" s="8">
        <v>0.49</v>
      </c>
    </row>
    <row r="44" spans="1:2" ht="12.75">
      <c r="A44" s="8">
        <v>11</v>
      </c>
      <c r="B44" s="8">
        <v>0.47</v>
      </c>
    </row>
    <row r="45" spans="1:2" ht="12.75">
      <c r="A45" s="8">
        <v>12</v>
      </c>
      <c r="B45" s="8">
        <v>0.45</v>
      </c>
    </row>
    <row r="46" spans="1:2" ht="12.75">
      <c r="A46" s="8">
        <v>13</v>
      </c>
      <c r="B46" s="8">
        <v>0.43</v>
      </c>
    </row>
    <row r="47" spans="1:2" ht="12.75">
      <c r="A47" s="8">
        <v>14</v>
      </c>
      <c r="B47" s="8">
        <v>0.41</v>
      </c>
    </row>
    <row r="48" spans="1:2" ht="12.75">
      <c r="A48" s="8">
        <v>15</v>
      </c>
      <c r="B48" s="8">
        <v>0.4</v>
      </c>
    </row>
    <row r="49" spans="1:2" ht="12.75">
      <c r="A49" s="8">
        <v>16</v>
      </c>
      <c r="B49" s="8">
        <v>0.39</v>
      </c>
    </row>
    <row r="50" spans="1:2" ht="12.75">
      <c r="A50" s="8">
        <v>17</v>
      </c>
      <c r="B50" s="8">
        <v>0.38</v>
      </c>
    </row>
    <row r="51" spans="1:2" ht="12.75">
      <c r="A51" s="8">
        <v>18</v>
      </c>
      <c r="B51" s="8">
        <v>0.37</v>
      </c>
    </row>
    <row r="52" spans="1:2" ht="12.75">
      <c r="A52" s="8">
        <v>19</v>
      </c>
      <c r="B52" s="8">
        <v>0.36</v>
      </c>
    </row>
    <row r="53" spans="1:2" ht="12.75">
      <c r="A53" s="8">
        <v>20</v>
      </c>
      <c r="B53" s="8">
        <v>0.35</v>
      </c>
    </row>
    <row r="54" spans="1:2" ht="12.75">
      <c r="A54" s="8">
        <v>21</v>
      </c>
      <c r="B54" s="8">
        <v>0.34</v>
      </c>
    </row>
    <row r="55" spans="1:2" ht="12.75">
      <c r="A55" s="8">
        <v>22</v>
      </c>
      <c r="B55" s="8">
        <v>0.33</v>
      </c>
    </row>
    <row r="56" spans="1:2" ht="12.75">
      <c r="A56" s="8">
        <v>23</v>
      </c>
      <c r="B56" s="8">
        <v>0.32</v>
      </c>
    </row>
    <row r="57" spans="1:2" ht="12.75">
      <c r="A57" s="8">
        <v>24</v>
      </c>
      <c r="B57" s="8">
        <v>0.31</v>
      </c>
    </row>
    <row r="58" spans="1:2" ht="12.75">
      <c r="A58" s="8">
        <v>25</v>
      </c>
      <c r="B58" s="8">
        <v>0.3</v>
      </c>
    </row>
    <row r="59" spans="1:2" ht="12.75">
      <c r="A59" s="8" t="s">
        <v>67</v>
      </c>
      <c r="B59" s="8">
        <v>0.3</v>
      </c>
    </row>
    <row r="61" ht="12.75">
      <c r="A61" s="1" t="s">
        <v>101</v>
      </c>
    </row>
    <row r="62" ht="12.75">
      <c r="A62" t="s">
        <v>102</v>
      </c>
    </row>
    <row r="63" spans="1:8" ht="12.75">
      <c r="A63" s="4" t="s">
        <v>103</v>
      </c>
      <c r="B63" s="4" t="s">
        <v>104</v>
      </c>
      <c r="D63" s="4" t="s">
        <v>123</v>
      </c>
      <c r="E63" s="4" t="s">
        <v>97</v>
      </c>
      <c r="G63" s="4" t="s">
        <v>103</v>
      </c>
      <c r="H63" s="4" t="s">
        <v>104</v>
      </c>
    </row>
    <row r="64" spans="1:8" ht="12.75">
      <c r="A64" s="12" t="s">
        <v>105</v>
      </c>
      <c r="B64" s="3">
        <v>0.45</v>
      </c>
      <c r="D64" s="8">
        <v>1</v>
      </c>
      <c r="E64" s="8">
        <v>1</v>
      </c>
      <c r="G64" s="3">
        <f>1/6</f>
        <v>0.16666666666666666</v>
      </c>
      <c r="H64" s="3">
        <f>B64</f>
        <v>0.45</v>
      </c>
    </row>
    <row r="65" spans="1:8" ht="12.75">
      <c r="A65" s="13" t="s">
        <v>106</v>
      </c>
      <c r="B65" s="3">
        <v>0.63</v>
      </c>
      <c r="D65" s="8">
        <v>2</v>
      </c>
      <c r="E65" s="8">
        <v>0.9</v>
      </c>
      <c r="G65" s="3">
        <f>1/4</f>
        <v>0.25</v>
      </c>
      <c r="H65" s="3">
        <f aca="true" t="shared" si="0" ref="H65:H73">B65</f>
        <v>0.63</v>
      </c>
    </row>
    <row r="66" spans="1:8" ht="12.75">
      <c r="A66" s="13" t="s">
        <v>107</v>
      </c>
      <c r="B66" s="3">
        <v>0.76</v>
      </c>
      <c r="D66" s="8">
        <v>3</v>
      </c>
      <c r="E66" s="8">
        <v>0.8</v>
      </c>
      <c r="G66" s="3">
        <f>1/3</f>
        <v>0.3333333333333333</v>
      </c>
      <c r="H66" s="3">
        <f t="shared" si="0"/>
        <v>0.76</v>
      </c>
    </row>
    <row r="67" spans="1:8" ht="12.75">
      <c r="A67" s="13" t="s">
        <v>108</v>
      </c>
      <c r="B67" s="3">
        <v>1.01</v>
      </c>
      <c r="D67" s="8">
        <v>4</v>
      </c>
      <c r="E67" s="8">
        <v>0.8</v>
      </c>
      <c r="G67" s="3">
        <f>1/2</f>
        <v>0.5</v>
      </c>
      <c r="H67" s="3">
        <f t="shared" si="0"/>
        <v>1.01</v>
      </c>
    </row>
    <row r="68" spans="1:8" ht="12.75">
      <c r="A68" s="13" t="s">
        <v>109</v>
      </c>
      <c r="B68" s="3">
        <v>1.24</v>
      </c>
      <c r="D68" s="8">
        <v>5</v>
      </c>
      <c r="E68" s="8">
        <v>0.8</v>
      </c>
      <c r="G68" s="3">
        <f>3/4</f>
        <v>0.75</v>
      </c>
      <c r="H68" s="3">
        <f t="shared" si="0"/>
        <v>1.24</v>
      </c>
    </row>
    <row r="69" spans="1:8" ht="12.75">
      <c r="A69" s="13" t="s">
        <v>110</v>
      </c>
      <c r="B69" s="3">
        <v>1.43</v>
      </c>
      <c r="D69" s="8" t="s">
        <v>67</v>
      </c>
      <c r="E69" s="8">
        <v>0.7</v>
      </c>
      <c r="G69" s="3">
        <f>1</f>
        <v>1</v>
      </c>
      <c r="H69" s="3">
        <f t="shared" si="0"/>
        <v>1.43</v>
      </c>
    </row>
    <row r="70" spans="1:8" ht="12.75">
      <c r="A70" s="13" t="s">
        <v>111</v>
      </c>
      <c r="B70" s="3">
        <v>2</v>
      </c>
      <c r="G70" s="3">
        <f>1.5</f>
        <v>1.5</v>
      </c>
      <c r="H70" s="3">
        <f t="shared" si="0"/>
        <v>2</v>
      </c>
    </row>
    <row r="71" spans="1:8" ht="12.75">
      <c r="A71" s="13" t="s">
        <v>112</v>
      </c>
      <c r="B71" s="3">
        <v>2.6</v>
      </c>
      <c r="G71" s="3">
        <f>2</f>
        <v>2</v>
      </c>
      <c r="H71" s="3">
        <f t="shared" si="0"/>
        <v>2.6</v>
      </c>
    </row>
    <row r="72" spans="1:8" ht="12.75">
      <c r="A72" s="13" t="s">
        <v>113</v>
      </c>
      <c r="B72" s="3">
        <v>3.8</v>
      </c>
      <c r="G72" s="3">
        <v>3</v>
      </c>
      <c r="H72" s="3">
        <f t="shared" si="0"/>
        <v>3.8</v>
      </c>
    </row>
    <row r="73" spans="1:8" ht="12.75">
      <c r="A73" s="13" t="s">
        <v>114</v>
      </c>
      <c r="B73" s="3">
        <v>5.4</v>
      </c>
      <c r="G73" s="3">
        <v>5</v>
      </c>
      <c r="H73" s="3">
        <f t="shared" si="0"/>
        <v>5.4</v>
      </c>
    </row>
    <row r="74" spans="1:8" ht="12.75">
      <c r="A74" s="13" t="s">
        <v>115</v>
      </c>
      <c r="B74" s="3">
        <v>7.4</v>
      </c>
      <c r="G74" s="3">
        <v>4</v>
      </c>
      <c r="H74" s="3">
        <v>5.1</v>
      </c>
    </row>
    <row r="75" spans="1:2" ht="12.75">
      <c r="A75" s="13" t="s">
        <v>116</v>
      </c>
      <c r="B75" s="3">
        <v>9.2</v>
      </c>
    </row>
    <row r="76" spans="1:2" ht="12.75">
      <c r="A76" s="13" t="s">
        <v>117</v>
      </c>
      <c r="B76" s="3">
        <v>12.7</v>
      </c>
    </row>
    <row r="77" spans="1:2" ht="12.75">
      <c r="A77" s="13" t="s">
        <v>118</v>
      </c>
      <c r="B77" s="3">
        <v>16.4</v>
      </c>
    </row>
    <row r="78" spans="1:2" ht="12.75">
      <c r="A78" s="13" t="s">
        <v>119</v>
      </c>
      <c r="B78" s="3">
        <v>20.3</v>
      </c>
    </row>
    <row r="79" spans="1:2" ht="12.75">
      <c r="A79" s="13" t="s">
        <v>120</v>
      </c>
      <c r="B79" s="3">
        <v>24</v>
      </c>
    </row>
    <row r="80" spans="1:2" ht="12.75">
      <c r="A80" s="13" t="s">
        <v>121</v>
      </c>
      <c r="B80" s="3">
        <v>30.6</v>
      </c>
    </row>
    <row r="81" spans="1:2" ht="12.75">
      <c r="A81" s="13" t="s">
        <v>122</v>
      </c>
      <c r="B81" s="3">
        <v>40.8</v>
      </c>
    </row>
    <row r="84" ht="24" thickBot="1">
      <c r="A84" s="161" t="s">
        <v>204</v>
      </c>
    </row>
    <row r="85" spans="1:10" ht="13.5" thickBot="1">
      <c r="A85" s="149"/>
      <c r="B85" s="150"/>
      <c r="C85" s="150"/>
      <c r="D85" s="150"/>
      <c r="E85" s="150"/>
      <c r="F85" s="150"/>
      <c r="G85" s="150"/>
      <c r="H85" s="150"/>
      <c r="I85" s="150"/>
      <c r="J85" s="151"/>
    </row>
    <row r="86" spans="1:10" ht="13.5" thickTop="1">
      <c r="A86" s="152" t="s">
        <v>155</v>
      </c>
      <c r="B86" s="84" t="s">
        <v>156</v>
      </c>
      <c r="C86" s="85" t="s">
        <v>157</v>
      </c>
      <c r="D86" s="153"/>
      <c r="E86" s="346" t="s">
        <v>158</v>
      </c>
      <c r="F86" s="348" t="s">
        <v>159</v>
      </c>
      <c r="G86" s="349"/>
      <c r="H86" s="350" t="s">
        <v>160</v>
      </c>
      <c r="I86" s="351"/>
      <c r="J86" s="154"/>
    </row>
    <row r="87" spans="1:10" ht="12.75">
      <c r="A87" s="155" t="s">
        <v>161</v>
      </c>
      <c r="B87" s="86">
        <v>1</v>
      </c>
      <c r="C87" s="87">
        <v>0.6</v>
      </c>
      <c r="D87" s="153"/>
      <c r="E87" s="347"/>
      <c r="F87" s="88" t="s">
        <v>162</v>
      </c>
      <c r="G87" s="89" t="s">
        <v>163</v>
      </c>
      <c r="H87" s="90">
        <v>1</v>
      </c>
      <c r="I87" s="91">
        <v>1</v>
      </c>
      <c r="J87" s="154"/>
    </row>
    <row r="88" spans="1:10" ht="12.75">
      <c r="A88" s="155" t="s">
        <v>164</v>
      </c>
      <c r="B88" s="86">
        <v>2</v>
      </c>
      <c r="C88" s="87">
        <v>0.5</v>
      </c>
      <c r="D88" s="153"/>
      <c r="E88" s="92">
        <v>0</v>
      </c>
      <c r="F88" s="93">
        <v>0</v>
      </c>
      <c r="G88" s="94">
        <v>0</v>
      </c>
      <c r="H88" s="90">
        <v>2</v>
      </c>
      <c r="I88" s="91">
        <v>0.67</v>
      </c>
      <c r="J88" s="154"/>
    </row>
    <row r="89" spans="1:10" ht="12.75">
      <c r="A89" s="155" t="s">
        <v>209</v>
      </c>
      <c r="B89" s="86">
        <v>3</v>
      </c>
      <c r="C89" s="87">
        <v>0.5</v>
      </c>
      <c r="D89" s="153"/>
      <c r="E89" s="92">
        <v>0.25</v>
      </c>
      <c r="F89" s="93">
        <v>0</v>
      </c>
      <c r="G89" s="94">
        <v>0.66</v>
      </c>
      <c r="H89" s="90">
        <v>3</v>
      </c>
      <c r="I89" s="91">
        <v>0.53</v>
      </c>
      <c r="J89" s="154"/>
    </row>
    <row r="90" spans="1:10" ht="12.75">
      <c r="A90" s="155" t="s">
        <v>210</v>
      </c>
      <c r="B90" s="86">
        <v>4</v>
      </c>
      <c r="C90" s="87">
        <v>0.9</v>
      </c>
      <c r="D90" s="153"/>
      <c r="E90" s="92">
        <v>0.3333333333333333</v>
      </c>
      <c r="F90" s="93">
        <v>0.65</v>
      </c>
      <c r="G90" s="94">
        <v>0.77</v>
      </c>
      <c r="H90" s="90">
        <v>4</v>
      </c>
      <c r="I90" s="91">
        <v>0.43</v>
      </c>
      <c r="J90" s="154"/>
    </row>
    <row r="91" spans="1:10" ht="12.75">
      <c r="A91" s="155" t="s">
        <v>165</v>
      </c>
      <c r="B91" s="86">
        <v>5</v>
      </c>
      <c r="C91" s="87">
        <v>0.6</v>
      </c>
      <c r="D91" s="153"/>
      <c r="E91" s="92">
        <v>0.5</v>
      </c>
      <c r="F91" s="93">
        <v>0.87</v>
      </c>
      <c r="G91" s="94">
        <v>1.18</v>
      </c>
      <c r="H91" s="90">
        <v>5</v>
      </c>
      <c r="I91" s="91">
        <v>0.37</v>
      </c>
      <c r="J91" s="154"/>
    </row>
    <row r="92" spans="1:10" ht="12.75">
      <c r="A92" s="155" t="s">
        <v>166</v>
      </c>
      <c r="B92" s="86">
        <v>6</v>
      </c>
      <c r="C92" s="87">
        <v>0.65</v>
      </c>
      <c r="D92" s="153"/>
      <c r="E92" s="92">
        <v>0.75</v>
      </c>
      <c r="F92" s="93">
        <v>1.26</v>
      </c>
      <c r="G92" s="94">
        <v>1.34</v>
      </c>
      <c r="H92" s="90">
        <v>6</v>
      </c>
      <c r="I92" s="91">
        <v>0.33</v>
      </c>
      <c r="J92" s="154"/>
    </row>
    <row r="93" spans="1:10" ht="12.75">
      <c r="A93" s="155" t="s">
        <v>167</v>
      </c>
      <c r="B93" s="86">
        <v>7</v>
      </c>
      <c r="C93" s="87">
        <v>0.56</v>
      </c>
      <c r="D93" s="153"/>
      <c r="E93" s="92">
        <v>1</v>
      </c>
      <c r="F93" s="93">
        <v>1.52</v>
      </c>
      <c r="G93" s="94">
        <v>1.56</v>
      </c>
      <c r="H93" s="90">
        <v>7</v>
      </c>
      <c r="I93" s="91">
        <v>0.3</v>
      </c>
      <c r="J93" s="154"/>
    </row>
    <row r="94" spans="1:10" ht="12.75">
      <c r="A94" s="155" t="s">
        <v>168</v>
      </c>
      <c r="B94" s="86">
        <v>8</v>
      </c>
      <c r="C94" s="87">
        <v>0.8</v>
      </c>
      <c r="D94" s="153"/>
      <c r="E94" s="92">
        <v>1.5</v>
      </c>
      <c r="F94" s="93">
        <v>2.17</v>
      </c>
      <c r="G94" s="94">
        <v>2.35</v>
      </c>
      <c r="H94" s="90">
        <v>8</v>
      </c>
      <c r="I94" s="91">
        <v>0.28</v>
      </c>
      <c r="J94" s="154"/>
    </row>
    <row r="95" spans="1:10" ht="12.75">
      <c r="A95" s="155" t="s">
        <v>169</v>
      </c>
      <c r="B95" s="86">
        <v>9</v>
      </c>
      <c r="C95" s="87">
        <v>0.7</v>
      </c>
      <c r="D95" s="153"/>
      <c r="E95" s="92">
        <v>2</v>
      </c>
      <c r="F95" s="93">
        <v>2.7</v>
      </c>
      <c r="G95" s="94">
        <v>2.97</v>
      </c>
      <c r="H95" s="90">
        <v>9</v>
      </c>
      <c r="I95" s="91">
        <v>0.26</v>
      </c>
      <c r="J95" s="154"/>
    </row>
    <row r="96" spans="1:10" ht="13.5" thickBot="1">
      <c r="A96" s="155" t="s">
        <v>170</v>
      </c>
      <c r="B96" s="86">
        <v>10</v>
      </c>
      <c r="C96" s="87">
        <v>0.8</v>
      </c>
      <c r="D96" s="153"/>
      <c r="E96" s="92">
        <v>3</v>
      </c>
      <c r="F96" s="93">
        <v>4.04</v>
      </c>
      <c r="G96" s="94">
        <v>4.07</v>
      </c>
      <c r="H96" s="96">
        <v>10</v>
      </c>
      <c r="I96" s="97">
        <v>0.24</v>
      </c>
      <c r="J96" s="154"/>
    </row>
    <row r="97" spans="1:10" ht="14.25" thickBot="1" thickTop="1">
      <c r="A97" s="156" t="s">
        <v>171</v>
      </c>
      <c r="B97" s="179">
        <v>11</v>
      </c>
      <c r="C97" s="95">
        <v>0.6</v>
      </c>
      <c r="D97" s="153"/>
      <c r="E97" s="92">
        <v>4</v>
      </c>
      <c r="F97" s="93">
        <v>5.03</v>
      </c>
      <c r="G97" s="98">
        <v>0</v>
      </c>
      <c r="H97" s="153"/>
      <c r="I97" s="153"/>
      <c r="J97" s="154"/>
    </row>
    <row r="98" spans="1:10" ht="14.25" thickBot="1" thickTop="1">
      <c r="A98" s="156"/>
      <c r="B98" s="180">
        <v>12</v>
      </c>
      <c r="C98" s="95"/>
      <c r="D98" s="153"/>
      <c r="E98" s="92">
        <v>5</v>
      </c>
      <c r="F98" s="93">
        <v>6.02</v>
      </c>
      <c r="G98" s="98">
        <v>6.16</v>
      </c>
      <c r="H98" s="153"/>
      <c r="I98" s="153"/>
      <c r="J98" s="154"/>
    </row>
    <row r="99" spans="1:10" ht="13.5" thickTop="1">
      <c r="A99" s="157"/>
      <c r="B99" s="153"/>
      <c r="C99" s="153"/>
      <c r="D99" s="153"/>
      <c r="E99" s="92">
        <v>7.5</v>
      </c>
      <c r="F99" s="93">
        <v>8.65</v>
      </c>
      <c r="G99" s="98">
        <v>8.84</v>
      </c>
      <c r="H99" s="153"/>
      <c r="I99" s="153"/>
      <c r="J99" s="154"/>
    </row>
    <row r="100" spans="1:10" ht="12.75">
      <c r="A100" s="157"/>
      <c r="B100" s="153"/>
      <c r="C100" s="153"/>
      <c r="D100" s="153"/>
      <c r="E100" s="92">
        <v>10</v>
      </c>
      <c r="F100" s="93">
        <v>11.54</v>
      </c>
      <c r="G100" s="98">
        <v>11.64</v>
      </c>
      <c r="H100" s="153"/>
      <c r="I100" s="153"/>
      <c r="J100" s="154"/>
    </row>
    <row r="101" spans="1:10" ht="12.75">
      <c r="A101" s="157"/>
      <c r="B101" s="153"/>
      <c r="C101" s="153"/>
      <c r="D101" s="153"/>
      <c r="E101" s="92">
        <v>12.5</v>
      </c>
      <c r="F101" s="93">
        <v>14.09</v>
      </c>
      <c r="G101" s="98">
        <v>14.94</v>
      </c>
      <c r="H101" s="153"/>
      <c r="I101" s="153"/>
      <c r="J101" s="154"/>
    </row>
    <row r="102" spans="1:10" ht="12.75">
      <c r="A102" s="157"/>
      <c r="B102" s="153"/>
      <c r="C102" s="153"/>
      <c r="D102" s="153"/>
      <c r="E102" s="92">
        <v>15</v>
      </c>
      <c r="F102" s="93">
        <v>16.65</v>
      </c>
      <c r="G102" s="98">
        <v>16.94</v>
      </c>
      <c r="H102" s="153"/>
      <c r="I102" s="153"/>
      <c r="J102" s="154"/>
    </row>
    <row r="103" spans="1:10" ht="12.75">
      <c r="A103" s="157"/>
      <c r="B103" s="153"/>
      <c r="C103" s="153"/>
      <c r="D103" s="153"/>
      <c r="E103" s="92">
        <v>20</v>
      </c>
      <c r="F103" s="93">
        <v>22.1</v>
      </c>
      <c r="G103" s="98">
        <v>0</v>
      </c>
      <c r="H103" s="153"/>
      <c r="I103" s="153"/>
      <c r="J103" s="154"/>
    </row>
    <row r="104" spans="1:10" ht="12.75">
      <c r="A104" s="157"/>
      <c r="B104" s="153"/>
      <c r="C104" s="153"/>
      <c r="D104" s="153"/>
      <c r="E104" s="92">
        <v>25</v>
      </c>
      <c r="F104" s="93">
        <v>25.83</v>
      </c>
      <c r="G104" s="98">
        <v>0</v>
      </c>
      <c r="H104" s="153"/>
      <c r="I104" s="153"/>
      <c r="J104" s="154"/>
    </row>
    <row r="105" spans="1:10" ht="12.75">
      <c r="A105" s="157"/>
      <c r="B105" s="153"/>
      <c r="C105" s="153"/>
      <c r="D105" s="153"/>
      <c r="E105" s="92">
        <v>30</v>
      </c>
      <c r="F105" s="93">
        <v>30.52</v>
      </c>
      <c r="G105" s="98">
        <v>0</v>
      </c>
      <c r="H105" s="153"/>
      <c r="I105" s="153"/>
      <c r="J105" s="154"/>
    </row>
    <row r="106" spans="1:10" ht="12.75">
      <c r="A106" s="157"/>
      <c r="B106" s="153"/>
      <c r="C106" s="153"/>
      <c r="D106" s="153"/>
      <c r="E106" s="92">
        <v>40</v>
      </c>
      <c r="F106" s="93">
        <v>39.74</v>
      </c>
      <c r="G106" s="98">
        <v>0</v>
      </c>
      <c r="H106" s="153"/>
      <c r="I106" s="153"/>
      <c r="J106" s="154"/>
    </row>
    <row r="107" spans="1:10" ht="13.5" thickBot="1">
      <c r="A107" s="157"/>
      <c r="B107" s="153"/>
      <c r="C107" s="153"/>
      <c r="D107" s="153"/>
      <c r="E107" s="99">
        <v>50</v>
      </c>
      <c r="F107" s="100">
        <v>48.73</v>
      </c>
      <c r="G107" s="101">
        <v>0</v>
      </c>
      <c r="H107" s="153"/>
      <c r="I107" s="153"/>
      <c r="J107" s="154"/>
    </row>
    <row r="108" spans="1:10" ht="13.5" thickTop="1">
      <c r="A108" s="157"/>
      <c r="B108" s="153"/>
      <c r="C108" s="153"/>
      <c r="D108" s="153"/>
      <c r="E108" s="153"/>
      <c r="F108" s="153"/>
      <c r="G108" s="153"/>
      <c r="H108" s="153"/>
      <c r="I108" s="153"/>
      <c r="J108" s="154"/>
    </row>
    <row r="109" spans="1:10" ht="13.5" thickBot="1">
      <c r="A109" s="158"/>
      <c r="B109" s="159"/>
      <c r="C109" s="159"/>
      <c r="D109" s="159"/>
      <c r="E109" s="159"/>
      <c r="F109" s="159"/>
      <c r="G109" s="159"/>
      <c r="H109" s="159"/>
      <c r="I109" s="159"/>
      <c r="J109" s="160"/>
    </row>
  </sheetData>
  <mergeCells count="5">
    <mergeCell ref="G12:I12"/>
    <mergeCell ref="A12:F12"/>
    <mergeCell ref="E86:E87"/>
    <mergeCell ref="F86:G86"/>
    <mergeCell ref="H86:I86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"/>
  <dimension ref="A1:AR236"/>
  <sheetViews>
    <sheetView showGridLines="0" workbookViewId="0" topLeftCell="A1">
      <selection activeCell="A1" sqref="A1:O1"/>
    </sheetView>
  </sheetViews>
  <sheetFormatPr defaultColWidth="9.140625" defaultRowHeight="12.75"/>
  <sheetData>
    <row r="1" spans="1:44" ht="43.5">
      <c r="A1" s="355" t="str">
        <f>Calc!$A$1</f>
        <v>Cálculo de Tipo de Fornecimento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AR1">
        <v>3</v>
      </c>
    </row>
    <row r="2" ht="12.75">
      <c r="AR2" t="s">
        <v>137</v>
      </c>
    </row>
    <row r="3" spans="2:44" ht="12.75">
      <c r="B3" t="s">
        <v>0</v>
      </c>
      <c r="AR3" t="s">
        <v>138</v>
      </c>
    </row>
    <row r="4" ht="12.75">
      <c r="AR4" t="s">
        <v>139</v>
      </c>
    </row>
    <row r="5" spans="2:44" ht="12.75">
      <c r="B5" t="s">
        <v>131</v>
      </c>
      <c r="D5" s="352" t="s">
        <v>147</v>
      </c>
      <c r="E5" s="353"/>
      <c r="F5" s="353"/>
      <c r="G5" s="353"/>
      <c r="H5" s="353"/>
      <c r="I5" s="353"/>
      <c r="J5" s="353"/>
      <c r="K5" s="353"/>
      <c r="L5" s="353"/>
      <c r="M5" s="354"/>
      <c r="AR5" t="s">
        <v>140</v>
      </c>
    </row>
    <row r="6" spans="4:13" ht="12.75"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2:13" ht="12.75">
      <c r="B7" t="s">
        <v>202</v>
      </c>
      <c r="D7" s="352" t="s">
        <v>220</v>
      </c>
      <c r="E7" s="353"/>
      <c r="F7" s="353"/>
      <c r="G7" s="353"/>
      <c r="H7" s="353"/>
      <c r="I7" s="353"/>
      <c r="J7" s="353"/>
      <c r="K7" s="353"/>
      <c r="L7" s="353"/>
      <c r="M7" s="354"/>
    </row>
    <row r="9" ht="12.75" customHeight="1"/>
    <row r="13" ht="12.75" customHeight="1"/>
    <row r="223" ht="12.75">
      <c r="D223" t="str">
        <f>IF(D227=B3,"Atualizado","Desatualizado")</f>
        <v>Desatualizado</v>
      </c>
    </row>
    <row r="227" ht="12.75" customHeight="1">
      <c r="D227" t="s">
        <v>219</v>
      </c>
    </row>
    <row r="229" spans="4:5" ht="12.75">
      <c r="D229" s="181"/>
      <c r="E229" s="211"/>
    </row>
    <row r="230" ht="12.75">
      <c r="D230" s="212"/>
    </row>
    <row r="231" spans="4:5" ht="63.75" customHeight="1">
      <c r="D231" s="212"/>
      <c r="E231" s="213"/>
    </row>
    <row r="232" ht="12.75">
      <c r="D232" s="205"/>
    </row>
    <row r="233" ht="38.25" customHeight="1">
      <c r="D233" s="212"/>
    </row>
    <row r="234" ht="25.5" customHeight="1">
      <c r="D234" s="208"/>
    </row>
    <row r="235" ht="12.75">
      <c r="D235" s="209"/>
    </row>
    <row r="236" spans="4:5" ht="12.75">
      <c r="D236" s="182"/>
      <c r="E236" s="210"/>
    </row>
  </sheetData>
  <sheetProtection/>
  <mergeCells count="3">
    <mergeCell ref="D7:M7"/>
    <mergeCell ref="A1:O1"/>
    <mergeCell ref="D5:M5"/>
  </mergeCells>
  <printOptions/>
  <pageMargins left="0.75" right="0.75" top="1" bottom="1" header="0.492125985" footer="0.49212598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Certaja Cooperativa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Setor de Engenharia e Planejamento</dc:creator>
  <cp:keywords/>
  <dc:description/>
  <cp:lastModifiedBy>coprel</cp:lastModifiedBy>
  <cp:lastPrinted>2007-08-30T20:02:22Z</cp:lastPrinted>
  <dcterms:created xsi:type="dcterms:W3CDTF">2004-12-09T17:21:02Z</dcterms:created>
  <dcterms:modified xsi:type="dcterms:W3CDTF">2007-11-22T12:57:08Z</dcterms:modified>
  <cp:category/>
  <cp:version/>
  <cp:contentType/>
  <cp:contentStatus/>
</cp:coreProperties>
</file>